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to\Desktop\"/>
    </mc:Choice>
  </mc:AlternateContent>
  <bookViews>
    <workbookView xWindow="0" yWindow="0" windowWidth="20490" windowHeight="7305"/>
  </bookViews>
  <sheets>
    <sheet name="info" sheetId="1" r:id="rId1"/>
    <sheet name="RC" sheetId="2" r:id="rId2"/>
    <sheet name="funds" sheetId="3" r:id="rId3"/>
    <sheet name="A-RC" sheetId="4" r:id="rId4"/>
    <sheet name="RI" sheetId="5" r:id="rId5"/>
    <sheet name="branches" sheetId="6" r:id="rId6"/>
  </sheets>
  <externalReferences>
    <externalReference r:id="rId7"/>
  </externalReferences>
  <definedNames>
    <definedName name="_xlnm.Print_Area" localSheetId="5">branches!$A$1:$G$10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6" l="1"/>
  <c r="E44" i="5"/>
  <c r="E42" i="5"/>
  <c r="E39" i="5"/>
  <c r="C39" i="5"/>
  <c r="E38" i="5"/>
  <c r="E37" i="5"/>
  <c r="D32" i="5"/>
  <c r="C31" i="5"/>
  <c r="E31" i="5" s="1"/>
  <c r="C30" i="5"/>
  <c r="E30" i="5" s="1"/>
  <c r="E29" i="5"/>
  <c r="E28" i="5"/>
  <c r="C28" i="5"/>
  <c r="E27" i="5"/>
  <c r="C27" i="5"/>
  <c r="E26" i="5"/>
  <c r="C26" i="5"/>
  <c r="D23" i="5"/>
  <c r="C23" i="5"/>
  <c r="E23" i="5" s="1"/>
  <c r="E22" i="5"/>
  <c r="C22" i="5"/>
  <c r="E21" i="5"/>
  <c r="C21" i="5"/>
  <c r="E20" i="5"/>
  <c r="C20" i="5"/>
  <c r="D19" i="5"/>
  <c r="C19" i="5"/>
  <c r="E19" i="5" s="1"/>
  <c r="D18" i="5"/>
  <c r="D17" i="5" s="1"/>
  <c r="D24" i="5" s="1"/>
  <c r="D33" i="5" s="1"/>
  <c r="C18" i="5"/>
  <c r="E18" i="5" s="1"/>
  <c r="C17" i="5"/>
  <c r="C24" i="5" s="1"/>
  <c r="E13" i="5"/>
  <c r="D12" i="5"/>
  <c r="C12" i="5"/>
  <c r="C14" i="5" s="1"/>
  <c r="E14" i="5" s="1"/>
  <c r="D11" i="5"/>
  <c r="D14" i="5" s="1"/>
  <c r="C11" i="5"/>
  <c r="E11" i="5" s="1"/>
  <c r="E8" i="5"/>
  <c r="D7" i="5"/>
  <c r="C7" i="5"/>
  <c r="E7" i="5" s="1"/>
  <c r="D6" i="5"/>
  <c r="C6" i="5"/>
  <c r="E6" i="5" s="1"/>
  <c r="D5" i="5"/>
  <c r="D9" i="5" s="1"/>
  <c r="D15" i="5" s="1"/>
  <c r="D35" i="5" s="1"/>
  <c r="D41" i="5" s="1"/>
  <c r="D43" i="5" s="1"/>
  <c r="D45" i="5" s="1"/>
  <c r="C5" i="5"/>
  <c r="C9" i="5" s="1"/>
  <c r="E4" i="5"/>
  <c r="D25" i="4"/>
  <c r="D24" i="4"/>
  <c r="D18" i="4"/>
  <c r="D17" i="4"/>
  <c r="C16" i="4"/>
  <c r="C19" i="4" s="1"/>
  <c r="D12" i="4"/>
  <c r="D11" i="4"/>
  <c r="D10" i="4"/>
  <c r="D9" i="4"/>
  <c r="C9" i="4"/>
  <c r="D8" i="4"/>
  <c r="D7" i="4"/>
  <c r="D6" i="4"/>
  <c r="C5" i="4"/>
  <c r="C13" i="4" s="1"/>
  <c r="D13" i="4" s="1"/>
  <c r="E8" i="3"/>
  <c r="E7" i="3"/>
  <c r="F6" i="3"/>
  <c r="D6" i="3"/>
  <c r="C6" i="3"/>
  <c r="C9" i="3" s="1"/>
  <c r="E5" i="3"/>
  <c r="E4" i="3"/>
  <c r="E3" i="3"/>
  <c r="F2" i="3"/>
  <c r="F9" i="3" s="1"/>
  <c r="D2" i="3"/>
  <c r="D9" i="3" s="1"/>
  <c r="C2" i="3"/>
  <c r="E2" i="3" s="1"/>
  <c r="C25" i="2"/>
  <c r="E25" i="2" s="1"/>
  <c r="E24" i="2"/>
  <c r="E23" i="2"/>
  <c r="C23" i="2"/>
  <c r="E22" i="2"/>
  <c r="E21" i="2"/>
  <c r="E20" i="2"/>
  <c r="C20" i="2"/>
  <c r="D17" i="2"/>
  <c r="C17" i="2"/>
  <c r="E17" i="2" s="1"/>
  <c r="D16" i="2"/>
  <c r="C16" i="2"/>
  <c r="C18" i="2" s="1"/>
  <c r="D15" i="2"/>
  <c r="D18" i="2" s="1"/>
  <c r="D26" i="2" s="1"/>
  <c r="C15" i="2"/>
  <c r="E15" i="2" s="1"/>
  <c r="E14" i="2"/>
  <c r="C14" i="2"/>
  <c r="D11" i="2"/>
  <c r="C11" i="2"/>
  <c r="E11" i="2" s="1"/>
  <c r="E10" i="2"/>
  <c r="C10" i="2"/>
  <c r="E9" i="2"/>
  <c r="C9" i="2"/>
  <c r="D8" i="2"/>
  <c r="C8" i="2"/>
  <c r="E8" i="2" s="1"/>
  <c r="E6" i="2"/>
  <c r="D5" i="2"/>
  <c r="D7" i="2" s="1"/>
  <c r="D12" i="2" s="1"/>
  <c r="C5" i="2"/>
  <c r="C7" i="2" s="1"/>
  <c r="E4" i="2"/>
  <c r="E3" i="2"/>
  <c r="C15" i="5" l="1"/>
  <c r="E9" i="5"/>
  <c r="E24" i="5"/>
  <c r="E5" i="5"/>
  <c r="E12" i="5"/>
  <c r="E17" i="5"/>
  <c r="C32" i="5"/>
  <c r="E32" i="5" s="1"/>
  <c r="D19" i="4"/>
  <c r="C20" i="4"/>
  <c r="D20" i="4" s="1"/>
  <c r="D16" i="4"/>
  <c r="D5" i="4"/>
  <c r="E9" i="3"/>
  <c r="E6" i="3"/>
  <c r="C26" i="2"/>
  <c r="E26" i="2" s="1"/>
  <c r="E18" i="2"/>
  <c r="E7" i="2"/>
  <c r="E12" i="2" s="1"/>
  <c r="E27" i="2" s="1"/>
  <c r="C12" i="2"/>
  <c r="E16" i="2"/>
  <c r="E5" i="2"/>
  <c r="C33" i="5" l="1"/>
  <c r="E33" i="5" s="1"/>
  <c r="E15" i="5"/>
  <c r="C35" i="5"/>
  <c r="C41" i="5" l="1"/>
  <c r="E35" i="5"/>
  <c r="C43" i="5" l="1"/>
  <c r="E41" i="5"/>
  <c r="C45" i="5" l="1"/>
  <c r="E45" i="5" s="1"/>
  <c r="E43" i="5"/>
</calcChain>
</file>

<file path=xl/comments1.xml><?xml version="1.0" encoding="utf-8"?>
<comments xmlns="http://schemas.openxmlformats.org/spreadsheetml/2006/main">
  <authors>
    <author>Giorgi Jebashvili</author>
  </authors>
  <commentList>
    <comment ref="E5" authorId="0" shapeId="0">
      <text>
        <r>
          <rPr>
            <b/>
            <sz val="9"/>
            <color indexed="81"/>
            <rFont val="Tahoma"/>
            <family val="2"/>
          </rPr>
          <t>NBG:</t>
        </r>
        <r>
          <rPr>
            <sz val="9"/>
            <color indexed="81"/>
            <rFont val="Tahoma"/>
            <family val="2"/>
          </rPr>
          <t xml:space="preserve">
 მთლიანი სესხების ნაშთი უნდა ემთხვეოდეს დანართი 5-ში გაცემული სესხების ნაშთს</t>
        </r>
      </text>
    </comment>
    <comment ref="E14" authorId="0" shapeId="0">
      <text>
        <r>
          <rPr>
            <b/>
            <sz val="9"/>
            <color indexed="81"/>
            <rFont val="Tahoma"/>
            <family val="2"/>
          </rPr>
          <t>NBG:</t>
        </r>
        <r>
          <rPr>
            <sz val="9"/>
            <color indexed="81"/>
            <rFont val="Tahoma"/>
            <family val="2"/>
          </rPr>
          <t xml:space="preserve">
RC!E17=Funds!E12</t>
        </r>
      </text>
    </comment>
    <comment ref="E15" authorId="0" shapeId="0">
      <text>
        <r>
          <rPr>
            <b/>
            <sz val="9"/>
            <color indexed="81"/>
            <rFont val="Tahoma"/>
            <family val="2"/>
          </rPr>
          <t>NBG:</t>
        </r>
        <r>
          <rPr>
            <sz val="9"/>
            <color indexed="81"/>
            <rFont val="Tahoma"/>
            <family val="2"/>
          </rPr>
          <t xml:space="preserve">
 მიღებული სესხების ნაშთი უნდა ემთხვეოდეს დანართი 5-ში მიღებული სესხების ნაშთს</t>
        </r>
      </text>
    </comment>
  </commentList>
</comments>
</file>

<file path=xl/sharedStrings.xml><?xml version="1.0" encoding="utf-8"?>
<sst xmlns="http://schemas.openxmlformats.org/spreadsheetml/2006/main" count="163" uniqueCount="150">
  <si>
    <t>Info</t>
  </si>
  <si>
    <t>299 04 04, 299 83 87</t>
  </si>
  <si>
    <t>E-mail</t>
  </si>
  <si>
    <t>info@banicredit.ge</t>
  </si>
  <si>
    <t>www.banicredit.ge</t>
  </si>
  <si>
    <t>alekokhasia@gmail.com</t>
  </si>
  <si>
    <t>RC</t>
  </si>
  <si>
    <t>N</t>
  </si>
  <si>
    <t>A-LS</t>
  </si>
  <si>
    <t>I</t>
  </si>
  <si>
    <t>II</t>
  </si>
  <si>
    <t>III</t>
  </si>
  <si>
    <t>RI</t>
  </si>
  <si>
    <t>FINANCIAL REPORT</t>
  </si>
  <si>
    <t>NAME OF ORGANIZATION</t>
  </si>
  <si>
    <t>BANI CREDIT</t>
  </si>
  <si>
    <t>DATE OF REGISTRATION</t>
  </si>
  <si>
    <t>REGISTRATION CODE</t>
  </si>
  <si>
    <t>ALEKSANDER KHASIA</t>
  </si>
  <si>
    <t>DAVIT KESHELASHVILI</t>
  </si>
  <si>
    <t>NUMBER OF BRANCHES</t>
  </si>
  <si>
    <t>NUMBER OF EMPLOYEES</t>
  </si>
  <si>
    <t>NUMBER OF BORROWERS</t>
  </si>
  <si>
    <t>PHONE</t>
  </si>
  <si>
    <t>CEO OF ORGANIZATION</t>
  </si>
  <si>
    <t>We, the undersigned, take full responsibility for the truthfulness and accuracy of all the data and information presented in the financial statement, its forms and tables, and confirm that the present financial statement has been checked and is in accordance with the applicable normative acts and the rules and norms established by the National Bank of Georgia</t>
  </si>
  <si>
    <t>Number of contracts signed with individuals and legal entities</t>
  </si>
  <si>
    <t>Person responsible for reporting</t>
  </si>
  <si>
    <t>Telephone number of the person responsible for reporting</t>
  </si>
  <si>
    <t xml:space="preserve"> E-mail of the person responsible for reporting</t>
  </si>
  <si>
    <t>TBILISI,I.GAKHOKIDZE I TURN.N4</t>
  </si>
  <si>
    <t>GEL</t>
  </si>
  <si>
    <t>USD</t>
  </si>
  <si>
    <t>TOTAL(GEL)</t>
  </si>
  <si>
    <t>Cash</t>
  </si>
  <si>
    <t>Cash in Bank</t>
  </si>
  <si>
    <t>Gross Loan Portfolio</t>
  </si>
  <si>
    <t>Loans Reserved</t>
  </si>
  <si>
    <t>Net Loan Portfolio</t>
  </si>
  <si>
    <t>Interest Receivables</t>
  </si>
  <si>
    <t>Collateral</t>
  </si>
  <si>
    <t>Capital Assets</t>
  </si>
  <si>
    <t>Other Assets</t>
  </si>
  <si>
    <t>Total Assets</t>
  </si>
  <si>
    <t>Assets</t>
  </si>
  <si>
    <t>Liabilities</t>
  </si>
  <si>
    <t>Loans from institutions</t>
  </si>
  <si>
    <t>Loans from Owners</t>
  </si>
  <si>
    <t>Interest Payables</t>
  </si>
  <si>
    <t>Other Liabilities</t>
  </si>
  <si>
    <t>Total Liabilities</t>
  </si>
  <si>
    <t>Equity</t>
  </si>
  <si>
    <t>Owner's Equity</t>
  </si>
  <si>
    <t>Retained Earnings</t>
  </si>
  <si>
    <t>Total Equity</t>
  </si>
  <si>
    <t>Total Equity and Liabilities</t>
  </si>
  <si>
    <t>Balance Sheet</t>
  </si>
  <si>
    <t>Amounts are in GEL</t>
  </si>
  <si>
    <t>Profit/Loss Statement</t>
  </si>
  <si>
    <t>From loans granted to indivuals</t>
  </si>
  <si>
    <t>Income from fines</t>
  </si>
  <si>
    <t>Interest Revenue</t>
  </si>
  <si>
    <t>Total Interest revenue</t>
  </si>
  <si>
    <t>Ineterst Costs</t>
  </si>
  <si>
    <t>From Financial Institution Loans</t>
  </si>
  <si>
    <t>From Owner's Loans</t>
  </si>
  <si>
    <t>Total Ineterst Costs</t>
  </si>
  <si>
    <t>Net Interest Revenue</t>
  </si>
  <si>
    <t>Other Revenue</t>
  </si>
  <si>
    <t>Commisions</t>
  </si>
  <si>
    <t>Exchange Rate Avaluation</t>
  </si>
  <si>
    <t>From Selling of Collateral</t>
  </si>
  <si>
    <t>Other</t>
  </si>
  <si>
    <t>Total Other Revenue</t>
  </si>
  <si>
    <t>Operating Costs</t>
  </si>
  <si>
    <t>Marketing and Consulting</t>
  </si>
  <si>
    <t>Administrative Salaries</t>
  </si>
  <si>
    <t>Maintenance Costs</t>
  </si>
  <si>
    <t>Office Rents</t>
  </si>
  <si>
    <t>Depriciation and Amortization</t>
  </si>
  <si>
    <t>Total Operating Costs</t>
  </si>
  <si>
    <t>Net Other Revenue</t>
  </si>
  <si>
    <t>Net Profit Before Taxes and Reserves</t>
  </si>
  <si>
    <t>Revenue/Costs from Loans</t>
  </si>
  <si>
    <t>Revenue/Costs from Collateral</t>
  </si>
  <si>
    <t>Total Reserves</t>
  </si>
  <si>
    <t>Net Profit Before Taxes</t>
  </si>
  <si>
    <t>Profit tax</t>
  </si>
  <si>
    <t>Profit after tax</t>
  </si>
  <si>
    <t>NET PROFIT</t>
  </si>
  <si>
    <t>According to the funds placed in the banks</t>
  </si>
  <si>
    <t>Other interest costs</t>
  </si>
  <si>
    <t>Financial reporting date</t>
  </si>
  <si>
    <t>Chairman of the Supervisory Board</t>
  </si>
  <si>
    <t>Grants and capital contributions</t>
  </si>
  <si>
    <t>Issuance capital</t>
  </si>
  <si>
    <t>Asset revaluation reserve</t>
  </si>
  <si>
    <t>ADDRESS</t>
  </si>
  <si>
    <t>Gel</t>
  </si>
  <si>
    <t>total</t>
  </si>
  <si>
    <t>number of persons</t>
  </si>
  <si>
    <t>Loans from resident commercial banks</t>
  </si>
  <si>
    <t>Loans from non-resident commercial banks</t>
  </si>
  <si>
    <t>Overdrafts on current accounts</t>
  </si>
  <si>
    <t>Loans received from banks</t>
  </si>
  <si>
    <t>Loans received from financial organizations</t>
  </si>
  <si>
    <t>Loans received from resident financial organizations</t>
  </si>
  <si>
    <t>Loans received from non-resident financial organizations</t>
  </si>
  <si>
    <t>Total borrowed funds</t>
  </si>
  <si>
    <t>shareholders and partners</t>
  </si>
  <si>
    <t>Amount in GEL</t>
  </si>
  <si>
    <t>name</t>
  </si>
  <si>
    <t>amount</t>
  </si>
  <si>
    <t>Part</t>
  </si>
  <si>
    <t>resident shareholders and partners</t>
  </si>
  <si>
    <t>maka gotsiridze</t>
  </si>
  <si>
    <t>irma gotsiridze</t>
  </si>
  <si>
    <t>maia tsereteli</t>
  </si>
  <si>
    <t>davit keshelashvili</t>
  </si>
  <si>
    <t>giorgi elbakidze</t>
  </si>
  <si>
    <t>Total resident shareholders and partners</t>
  </si>
  <si>
    <t>non-resident shareholders and partners</t>
  </si>
  <si>
    <t>total non-resident shareholders and partners</t>
  </si>
  <si>
    <t>total shareholders and partners</t>
  </si>
  <si>
    <t>Beneficial shareholders with 10% or more</t>
  </si>
  <si>
    <t>branches</t>
  </si>
  <si>
    <t>city/region</t>
  </si>
  <si>
    <t>address</t>
  </si>
  <si>
    <t>CEO</t>
  </si>
  <si>
    <t>phone</t>
  </si>
  <si>
    <t>tbilisi</t>
  </si>
  <si>
    <t>Davit keshelashvili</t>
  </si>
  <si>
    <t>company:</t>
  </si>
  <si>
    <t>Banicredit</t>
  </si>
  <si>
    <t>head office</t>
  </si>
  <si>
    <t>e-mail</t>
  </si>
  <si>
    <t>Individuals</t>
  </si>
  <si>
    <t>Legal entities</t>
  </si>
  <si>
    <t>ACCOUNTANT</t>
  </si>
  <si>
    <t>WEB Page</t>
  </si>
  <si>
    <t>Total</t>
  </si>
  <si>
    <t>Other revenue</t>
  </si>
  <si>
    <t>Commission and other income</t>
  </si>
  <si>
    <t xml:space="preserve"> Fees and other costs on the services received</t>
  </si>
  <si>
    <t>Exchange from Operations</t>
  </si>
  <si>
    <t>non-operation income (expenses)</t>
  </si>
  <si>
    <t>Branch</t>
  </si>
  <si>
    <t>03.01.2023</t>
  </si>
  <si>
    <t>Martin edvord pope</t>
  </si>
  <si>
    <t>From loans granted to Legal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</si>
</sst>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5" x14ac:knownFonts="1">
    <font>
      <sz val="11"/>
      <color theme="1"/>
      <name val="Calibri"/>
      <family val="2"/>
      <scheme val="minor"/>
    </font>
    <font>
      <sz val="10"/>
      <name val="Arial"/>
      <family val="2"/>
    </font>
    <font>
      <b/>
      <sz val="8"/>
      <name val="Arial"/>
      <family val="2"/>
    </font>
    <font>
      <b/>
      <sz val="8"/>
      <name val="Arial"/>
      <family val="2"/>
      <charset val="204"/>
    </font>
    <font>
      <sz val="8"/>
      <name val="Arial"/>
      <family val="2"/>
      <charset val="204"/>
    </font>
    <font>
      <sz val="8"/>
      <name val="Arial"/>
      <family val="2"/>
    </font>
    <font>
      <i/>
      <sz val="8"/>
      <name val="Arial"/>
      <family val="2"/>
    </font>
    <font>
      <b/>
      <sz val="8"/>
      <color rgb="FFFF0000"/>
      <name val="Arial"/>
      <family val="2"/>
      <charset val="204"/>
    </font>
    <font>
      <b/>
      <sz val="9"/>
      <color indexed="81"/>
      <name val="Tahoma"/>
      <family val="2"/>
    </font>
    <font>
      <sz val="9"/>
      <color indexed="81"/>
      <name val="Tahoma"/>
      <family val="2"/>
    </font>
    <font>
      <sz val="8"/>
      <color theme="1"/>
      <name val="Sylfaen"/>
      <family val="2"/>
    </font>
    <font>
      <b/>
      <sz val="8"/>
      <color theme="1"/>
      <name val="Sylfaen"/>
      <family val="2"/>
    </font>
    <font>
      <b/>
      <sz val="11"/>
      <color theme="1"/>
      <name val="Sylfaen"/>
      <family val="1"/>
    </font>
    <font>
      <b/>
      <sz val="8"/>
      <color theme="0" tint="-0.499984740745262"/>
      <name val="Arial"/>
      <family val="2"/>
    </font>
    <font>
      <sz val="8"/>
      <name val="Sylfaen"/>
      <family val="1"/>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lightDown">
        <bgColor theme="8" tint="0.59999389629810485"/>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9"/>
        <bgColor indexed="64"/>
      </patternFill>
    </fill>
    <fill>
      <patternFill patternType="solid">
        <fgColor theme="3"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5">
    <xf numFmtId="0" fontId="0" fillId="0" borderId="0"/>
    <xf numFmtId="0" fontId="1" fillId="0" borderId="0"/>
    <xf numFmtId="0" fontId="1" fillId="0" borderId="0"/>
    <xf numFmtId="0" fontId="1" fillId="0" borderId="0"/>
    <xf numFmtId="0" fontId="5" fillId="10" borderId="10" applyBorder="0"/>
  </cellStyleXfs>
  <cellXfs count="208">
    <xf numFmtId="0" fontId="0" fillId="0" borderId="0" xfId="0"/>
    <xf numFmtId="0" fontId="2" fillId="2" borderId="0" xfId="1" applyFont="1" applyFill="1"/>
    <xf numFmtId="0" fontId="3" fillId="2" borderId="0" xfId="1" applyFont="1" applyFill="1" applyAlignment="1">
      <alignment horizontal="center" vertical="center"/>
    </xf>
    <xf numFmtId="0" fontId="4" fillId="0" borderId="0" xfId="1" applyFont="1" applyAlignment="1">
      <alignment horizontal="center"/>
    </xf>
    <xf numFmtId="0" fontId="3" fillId="2" borderId="0" xfId="1" applyFont="1" applyFill="1" applyAlignment="1">
      <alignment horizontal="left" vertical="center" indent="1"/>
    </xf>
    <xf numFmtId="0" fontId="4" fillId="2" borderId="0" xfId="1" applyFont="1" applyFill="1"/>
    <xf numFmtId="0" fontId="4" fillId="0" borderId="0" xfId="1" applyFont="1"/>
    <xf numFmtId="0" fontId="4" fillId="2" borderId="1" xfId="1" applyFont="1" applyFill="1" applyBorder="1" applyAlignment="1">
      <alignment horizontal="left" indent="1"/>
    </xf>
    <xf numFmtId="0" fontId="4" fillId="2" borderId="1" xfId="1" applyFont="1" applyFill="1" applyBorder="1" applyAlignment="1">
      <alignment horizontal="left" vertical="center" wrapText="1" indent="1"/>
    </xf>
    <xf numFmtId="0" fontId="5" fillId="0" borderId="1" xfId="1" applyFont="1" applyBorder="1" applyAlignment="1" applyProtection="1">
      <alignment horizontal="right" vertical="center" wrapText="1"/>
      <protection locked="0"/>
    </xf>
    <xf numFmtId="14" fontId="5" fillId="0" borderId="1" xfId="1" applyNumberFormat="1" applyFont="1" applyBorder="1" applyAlignment="1" applyProtection="1">
      <alignment horizontal="right" vertical="center"/>
      <protection locked="0"/>
    </xf>
    <xf numFmtId="0" fontId="4" fillId="0" borderId="1" xfId="1" applyFont="1" applyBorder="1" applyAlignment="1">
      <alignment horizontal="left" vertical="center" wrapText="1" indent="1"/>
    </xf>
    <xf numFmtId="14" fontId="5" fillId="0" borderId="1" xfId="1" applyNumberFormat="1" applyFont="1" applyBorder="1" applyAlignment="1">
      <alignment horizontal="right" vertical="center"/>
    </xf>
    <xf numFmtId="0" fontId="5" fillId="0" borderId="1" xfId="1" applyFont="1" applyBorder="1" applyAlignment="1" applyProtection="1">
      <alignment horizontal="right" vertical="center"/>
      <protection locked="0"/>
    </xf>
    <xf numFmtId="0" fontId="6" fillId="2" borderId="1" xfId="1" applyFont="1" applyFill="1" applyBorder="1" applyAlignment="1">
      <alignment horizontal="left" indent="1"/>
    </xf>
    <xf numFmtId="0" fontId="6" fillId="2" borderId="1" xfId="1" applyFont="1" applyFill="1" applyBorder="1" applyAlignment="1">
      <alignment horizontal="left" vertical="center" wrapText="1" indent="2"/>
    </xf>
    <xf numFmtId="0" fontId="6" fillId="0" borderId="1" xfId="1" applyFont="1" applyBorder="1" applyAlignment="1">
      <alignment horizontal="left" vertical="center" wrapText="1" indent="1"/>
    </xf>
    <xf numFmtId="0" fontId="4" fillId="3" borderId="5" xfId="1" applyFont="1" applyFill="1" applyBorder="1" applyAlignment="1">
      <alignment horizontal="left" indent="1"/>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2" borderId="9" xfId="1" applyFont="1" applyFill="1" applyBorder="1" applyAlignment="1">
      <alignment horizontal="left" indent="1"/>
    </xf>
    <xf numFmtId="164" fontId="4" fillId="0" borderId="10" xfId="1" applyNumberFormat="1" applyFont="1" applyBorder="1" applyAlignment="1" applyProtection="1">
      <alignment horizontal="right"/>
      <protection locked="0"/>
    </xf>
    <xf numFmtId="164" fontId="4" fillId="4" borderId="11" xfId="1" applyNumberFormat="1" applyFont="1" applyFill="1" applyBorder="1" applyAlignment="1">
      <alignment horizontal="right"/>
    </xf>
    <xf numFmtId="0" fontId="4" fillId="2" borderId="12" xfId="1" applyFont="1" applyFill="1" applyBorder="1" applyAlignment="1">
      <alignment horizontal="left" indent="1"/>
    </xf>
    <xf numFmtId="164" fontId="4" fillId="0" borderId="1" xfId="1" applyNumberFormat="1" applyFont="1" applyBorder="1" applyAlignment="1" applyProtection="1">
      <alignment horizontal="right"/>
      <protection locked="0"/>
    </xf>
    <xf numFmtId="164" fontId="4" fillId="4" borderId="13" xfId="1" applyNumberFormat="1" applyFont="1" applyFill="1" applyBorder="1" applyAlignment="1">
      <alignment horizontal="right"/>
    </xf>
    <xf numFmtId="164" fontId="5" fillId="0" borderId="1" xfId="1" applyNumberFormat="1" applyFont="1" applyBorder="1" applyAlignment="1" applyProtection="1">
      <alignment horizontal="right"/>
      <protection locked="0"/>
    </xf>
    <xf numFmtId="164" fontId="5" fillId="4" borderId="13" xfId="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14" xfId="1" applyNumberFormat="1" applyFont="1" applyFill="1" applyBorder="1" applyAlignment="1">
      <alignment horizontal="right"/>
    </xf>
    <xf numFmtId="164" fontId="3" fillId="4" borderId="15" xfId="1" applyNumberFormat="1" applyFont="1" applyFill="1" applyBorder="1" applyAlignment="1">
      <alignment horizontal="right"/>
    </xf>
    <xf numFmtId="164" fontId="4" fillId="3" borderId="7" xfId="1" applyNumberFormat="1"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164" fontId="4" fillId="5" borderId="10" xfId="1" applyNumberFormat="1" applyFont="1" applyFill="1" applyBorder="1" applyAlignment="1">
      <alignment horizontal="right"/>
    </xf>
    <xf numFmtId="0" fontId="4" fillId="2" borderId="16" xfId="1" applyFont="1" applyFill="1" applyBorder="1" applyAlignment="1">
      <alignment horizontal="left" indent="1"/>
    </xf>
    <xf numFmtId="0" fontId="4" fillId="4" borderId="5" xfId="1" applyFont="1" applyFill="1" applyBorder="1" applyAlignment="1">
      <alignment horizontal="left" indent="1"/>
    </xf>
    <xf numFmtId="164" fontId="3" fillId="4" borderId="7" xfId="1" applyNumberFormat="1" applyFont="1" applyFill="1" applyBorder="1" applyAlignment="1">
      <alignment horizontal="right"/>
    </xf>
    <xf numFmtId="164" fontId="3" fillId="4" borderId="8" xfId="1" applyNumberFormat="1" applyFont="1" applyFill="1" applyBorder="1" applyAlignment="1">
      <alignment horizontal="right"/>
    </xf>
    <xf numFmtId="0" fontId="7" fillId="0" borderId="0" xfId="1" applyFont="1"/>
    <xf numFmtId="0" fontId="10" fillId="0" borderId="1" xfId="0" applyFont="1" applyBorder="1"/>
    <xf numFmtId="0" fontId="0" fillId="0" borderId="1" xfId="0" applyBorder="1" applyAlignment="1">
      <alignment horizontal="center"/>
    </xf>
    <xf numFmtId="0" fontId="11" fillId="4" borderId="17" xfId="0" applyFont="1" applyFill="1" applyBorder="1"/>
    <xf numFmtId="0" fontId="11" fillId="4" borderId="18" xfId="0" applyFont="1" applyFill="1" applyBorder="1"/>
    <xf numFmtId="164" fontId="12" fillId="6" borderId="18" xfId="0" applyNumberFormat="1" applyFont="1" applyFill="1" applyBorder="1"/>
    <xf numFmtId="164" fontId="12" fillId="4" borderId="19" xfId="0" applyNumberFormat="1" applyFont="1" applyFill="1" applyBorder="1"/>
    <xf numFmtId="164" fontId="12" fillId="6" borderId="20" xfId="0" applyNumberFormat="1" applyFont="1" applyFill="1" applyBorder="1"/>
    <xf numFmtId="0" fontId="10" fillId="0" borderId="21" xfId="0" applyFont="1" applyBorder="1"/>
    <xf numFmtId="0" fontId="10" fillId="0" borderId="22" xfId="0" applyFont="1" applyBorder="1"/>
    <xf numFmtId="164" fontId="0" fillId="0" borderId="22" xfId="0" applyNumberFormat="1" applyBorder="1" applyProtection="1">
      <protection locked="0"/>
    </xf>
    <xf numFmtId="164" fontId="0" fillId="4" borderId="23" xfId="0" applyNumberFormat="1" applyFill="1" applyBorder="1"/>
    <xf numFmtId="164" fontId="0" fillId="0" borderId="24" xfId="0" applyNumberFormat="1" applyBorder="1" applyProtection="1">
      <protection locked="0"/>
    </xf>
    <xf numFmtId="164" fontId="0" fillId="0" borderId="25" xfId="0" applyNumberFormat="1" applyBorder="1" applyProtection="1">
      <protection locked="0"/>
    </xf>
    <xf numFmtId="0" fontId="11" fillId="4" borderId="21" xfId="0" applyFont="1" applyFill="1" applyBorder="1"/>
    <xf numFmtId="0" fontId="11" fillId="4" borderId="22" xfId="0" applyFont="1" applyFill="1" applyBorder="1"/>
    <xf numFmtId="164" fontId="12" fillId="6" borderId="22" xfId="0" applyNumberFormat="1" applyFont="1" applyFill="1" applyBorder="1"/>
    <xf numFmtId="164" fontId="12" fillId="4" borderId="23" xfId="0" applyNumberFormat="1" applyFont="1" applyFill="1" applyBorder="1"/>
    <xf numFmtId="164" fontId="12" fillId="6" borderId="24" xfId="0" applyNumberFormat="1" applyFont="1" applyFill="1" applyBorder="1"/>
    <xf numFmtId="0" fontId="11" fillId="4" borderId="26" xfId="0" applyFont="1" applyFill="1" applyBorder="1"/>
    <xf numFmtId="164" fontId="12" fillId="4" borderId="27" xfId="0" applyNumberFormat="1" applyFont="1" applyFill="1" applyBorder="1"/>
    <xf numFmtId="164" fontId="12" fillId="4" borderId="1" xfId="0" applyNumberFormat="1" applyFont="1" applyFill="1" applyBorder="1"/>
    <xf numFmtId="0" fontId="2" fillId="0" borderId="0" xfId="1" applyFont="1" applyAlignment="1" applyProtection="1">
      <alignment horizontal="center"/>
    </xf>
    <xf numFmtId="0" fontId="2" fillId="8" borderId="35" xfId="1" applyFont="1" applyFill="1" applyBorder="1" applyAlignment="1" applyProtection="1">
      <alignment horizontal="center"/>
    </xf>
    <xf numFmtId="0" fontId="5" fillId="0" borderId="37" xfId="2" applyFont="1" applyBorder="1" applyAlignment="1" applyProtection="1">
      <alignment horizontal="left" indent="1"/>
    </xf>
    <xf numFmtId="0" fontId="5" fillId="0" borderId="38" xfId="1" applyFont="1" applyBorder="1" applyProtection="1">
      <protection locked="0"/>
    </xf>
    <xf numFmtId="164" fontId="5" fillId="0" borderId="38" xfId="1" applyNumberFormat="1" applyFont="1" applyBorder="1" applyAlignment="1" applyProtection="1">
      <alignment horizontal="right"/>
      <protection locked="0"/>
    </xf>
    <xf numFmtId="10" fontId="5" fillId="4" borderId="39" xfId="1" applyNumberFormat="1" applyFont="1" applyFill="1" applyBorder="1" applyAlignment="1" applyProtection="1">
      <alignment horizontal="right"/>
    </xf>
    <xf numFmtId="0" fontId="5" fillId="0" borderId="32" xfId="1" applyFont="1" applyBorder="1" applyAlignment="1" applyProtection="1">
      <alignment horizontal="left" indent="1"/>
    </xf>
    <xf numFmtId="0" fontId="2" fillId="0" borderId="33" xfId="1" applyFont="1" applyBorder="1" applyProtection="1"/>
    <xf numFmtId="164" fontId="5" fillId="4" borderId="33" xfId="1" applyNumberFormat="1" applyFont="1" applyFill="1" applyBorder="1" applyAlignment="1" applyProtection="1">
      <alignment horizontal="right"/>
    </xf>
    <xf numFmtId="10" fontId="5" fillId="4" borderId="34" xfId="1" applyNumberFormat="1" applyFont="1" applyFill="1" applyBorder="1" applyAlignment="1" applyProtection="1">
      <alignment horizontal="right"/>
    </xf>
    <xf numFmtId="0" fontId="5" fillId="0" borderId="0" xfId="1" applyFont="1" applyAlignment="1" applyProtection="1">
      <alignment horizontal="left" indent="1"/>
    </xf>
    <xf numFmtId="0" fontId="2" fillId="0" borderId="0" xfId="1" applyFont="1" applyAlignment="1" applyProtection="1">
      <alignment horizontal="left" indent="1"/>
    </xf>
    <xf numFmtId="0" fontId="2" fillId="8" borderId="28" xfId="1" applyFont="1" applyFill="1" applyBorder="1" applyAlignment="1" applyProtection="1">
      <alignment horizontal="center"/>
    </xf>
    <xf numFmtId="0" fontId="5" fillId="0" borderId="37" xfId="1" applyFont="1" applyBorder="1" applyAlignment="1" applyProtection="1">
      <alignment horizontal="left" indent="1"/>
    </xf>
    <xf numFmtId="0" fontId="2" fillId="0" borderId="40" xfId="1" applyFont="1" applyBorder="1" applyProtection="1"/>
    <xf numFmtId="164" fontId="5" fillId="4" borderId="38" xfId="1" applyNumberFormat="1" applyFont="1" applyFill="1" applyBorder="1" applyAlignment="1" applyProtection="1">
      <alignment horizontal="right"/>
    </xf>
    <xf numFmtId="0" fontId="2" fillId="0" borderId="32" xfId="1" applyFont="1" applyBorder="1" applyAlignment="1" applyProtection="1">
      <alignment horizontal="center"/>
    </xf>
    <xf numFmtId="0" fontId="2" fillId="0" borderId="41" xfId="1" applyFont="1" applyBorder="1" applyProtection="1"/>
    <xf numFmtId="0" fontId="5" fillId="0" borderId="0" xfId="1" applyFont="1" applyProtection="1"/>
    <xf numFmtId="2" fontId="5" fillId="0" borderId="0" xfId="1" applyNumberFormat="1" applyFont="1" applyProtection="1"/>
    <xf numFmtId="0" fontId="5" fillId="0" borderId="42" xfId="3" applyFont="1" applyBorder="1" applyAlignment="1">
      <alignment horizontal="left" vertical="center" indent="1"/>
    </xf>
    <xf numFmtId="0" fontId="5" fillId="0" borderId="43" xfId="3" applyFont="1" applyBorder="1" applyAlignment="1">
      <alignment horizontal="left" vertical="center"/>
    </xf>
    <xf numFmtId="0" fontId="5" fillId="0" borderId="43" xfId="3" applyFont="1" applyBorder="1" applyAlignment="1">
      <alignment horizontal="center" vertical="center" wrapText="1"/>
    </xf>
    <xf numFmtId="0" fontId="5" fillId="0" borderId="44" xfId="3" applyFont="1" applyBorder="1" applyAlignment="1">
      <alignment horizontal="center" vertical="center" wrapText="1"/>
    </xf>
    <xf numFmtId="0" fontId="5" fillId="0" borderId="45" xfId="3" applyFont="1" applyBorder="1" applyAlignment="1">
      <alignment horizontal="center" vertical="center" wrapText="1"/>
    </xf>
    <xf numFmtId="0" fontId="13" fillId="0" borderId="46" xfId="3" applyFont="1" applyBorder="1"/>
    <xf numFmtId="0" fontId="13" fillId="0" borderId="6" xfId="3" applyFont="1" applyBorder="1"/>
    <xf numFmtId="0" fontId="5" fillId="0" borderId="37" xfId="2" applyFont="1" applyBorder="1" applyAlignment="1">
      <alignment horizontal="left" indent="1"/>
    </xf>
    <xf numFmtId="0" fontId="5" fillId="0" borderId="47" xfId="3" applyFont="1" applyBorder="1" applyAlignment="1">
      <alignment horizontal="left" wrapText="1" indent="1"/>
    </xf>
    <xf numFmtId="164" fontId="6" fillId="0" borderId="38" xfId="3" applyNumberFormat="1" applyFont="1" applyBorder="1" applyAlignment="1" applyProtection="1">
      <alignment horizontal="right"/>
      <protection locked="0"/>
    </xf>
    <xf numFmtId="164" fontId="6" fillId="0" borderId="48" xfId="3" applyNumberFormat="1" applyFont="1" applyBorder="1" applyAlignment="1" applyProtection="1">
      <alignment horizontal="right"/>
      <protection locked="0"/>
    </xf>
    <xf numFmtId="164" fontId="5" fillId="4" borderId="49" xfId="3" applyNumberFormat="1" applyFont="1" applyFill="1" applyBorder="1" applyAlignment="1">
      <alignment horizontal="right"/>
    </xf>
    <xf numFmtId="164" fontId="5" fillId="4" borderId="39" xfId="3" applyNumberFormat="1" applyFont="1" applyFill="1" applyBorder="1" applyAlignment="1">
      <alignment horizontal="right"/>
    </xf>
    <xf numFmtId="0" fontId="5" fillId="0" borderId="32" xfId="2" applyFont="1" applyBorder="1" applyAlignment="1">
      <alignment horizontal="left" indent="1"/>
    </xf>
    <xf numFmtId="164" fontId="6" fillId="0" borderId="33" xfId="3" applyNumberFormat="1" applyFont="1" applyBorder="1" applyAlignment="1" applyProtection="1">
      <alignment horizontal="right"/>
      <protection locked="0"/>
    </xf>
    <xf numFmtId="164" fontId="6" fillId="0" borderId="50" xfId="3" applyNumberFormat="1" applyFont="1" applyBorder="1" applyAlignment="1" applyProtection="1">
      <alignment horizontal="right"/>
      <protection locked="0"/>
    </xf>
    <xf numFmtId="164" fontId="5" fillId="4" borderId="34" xfId="3" applyNumberFormat="1" applyFont="1" applyFill="1" applyBorder="1" applyAlignment="1">
      <alignment horizontal="right"/>
    </xf>
    <xf numFmtId="0" fontId="5" fillId="4" borderId="35" xfId="2" applyFont="1" applyFill="1" applyBorder="1" applyAlignment="1">
      <alignment horizontal="left" indent="1"/>
    </xf>
    <xf numFmtId="164" fontId="2" fillId="4" borderId="51" xfId="3" applyNumberFormat="1" applyFont="1" applyFill="1" applyBorder="1" applyAlignment="1">
      <alignment horizontal="right"/>
    </xf>
    <xf numFmtId="164" fontId="2" fillId="4" borderId="52" xfId="3" applyNumberFormat="1" applyFont="1" applyFill="1" applyBorder="1" applyAlignment="1">
      <alignment horizontal="right"/>
    </xf>
    <xf numFmtId="0" fontId="5" fillId="0" borderId="6" xfId="3" applyFont="1" applyBorder="1"/>
    <xf numFmtId="164" fontId="13" fillId="0" borderId="6" xfId="3" applyNumberFormat="1" applyFont="1" applyBorder="1"/>
    <xf numFmtId="164" fontId="5" fillId="0" borderId="47" xfId="3" applyNumberFormat="1" applyFont="1" applyBorder="1" applyAlignment="1" applyProtection="1">
      <alignment horizontal="right"/>
      <protection locked="0"/>
    </xf>
    <xf numFmtId="164" fontId="5" fillId="0" borderId="53" xfId="3" applyNumberFormat="1" applyFont="1" applyBorder="1" applyAlignment="1" applyProtection="1">
      <alignment horizontal="right"/>
      <protection locked="0"/>
    </xf>
    <xf numFmtId="0" fontId="5" fillId="0" borderId="38" xfId="3" applyFont="1" applyBorder="1" applyAlignment="1">
      <alignment horizontal="left" wrapText="1"/>
    </xf>
    <xf numFmtId="164" fontId="5" fillId="0" borderId="38" xfId="3" applyNumberFormat="1" applyFont="1" applyBorder="1" applyAlignment="1" applyProtection="1">
      <alignment horizontal="right"/>
      <protection locked="0"/>
    </xf>
    <xf numFmtId="164" fontId="5" fillId="0" borderId="48" xfId="3" applyNumberFormat="1" applyFont="1" applyBorder="1" applyAlignment="1" applyProtection="1">
      <alignment horizontal="right"/>
      <protection locked="0"/>
    </xf>
    <xf numFmtId="0" fontId="5" fillId="0" borderId="54" xfId="2" applyFont="1" applyBorder="1" applyAlignment="1">
      <alignment horizontal="left" indent="1"/>
    </xf>
    <xf numFmtId="164" fontId="2" fillId="4" borderId="55" xfId="3" applyNumberFormat="1" applyFont="1" applyFill="1" applyBorder="1" applyAlignment="1">
      <alignment horizontal="right"/>
    </xf>
    <xf numFmtId="164" fontId="2" fillId="4" borderId="56" xfId="3" applyNumberFormat="1" applyFont="1" applyFill="1" applyBorder="1" applyAlignment="1">
      <alignment horizontal="right"/>
    </xf>
    <xf numFmtId="164" fontId="2" fillId="4" borderId="57" xfId="3" applyNumberFormat="1" applyFont="1" applyFill="1" applyBorder="1" applyAlignment="1">
      <alignment horizontal="right"/>
    </xf>
    <xf numFmtId="0" fontId="5" fillId="4" borderId="58" xfId="2" applyFont="1" applyFill="1" applyBorder="1" applyAlignment="1">
      <alignment horizontal="left" indent="1"/>
    </xf>
    <xf numFmtId="164" fontId="2" fillId="4" borderId="59" xfId="3" applyNumberFormat="1" applyFont="1" applyFill="1" applyBorder="1" applyAlignment="1">
      <alignment horizontal="right"/>
    </xf>
    <xf numFmtId="0" fontId="5" fillId="0" borderId="60" xfId="3" applyFont="1" applyBorder="1"/>
    <xf numFmtId="0" fontId="5" fillId="0" borderId="35" xfId="2" applyFont="1" applyBorder="1" applyAlignment="1">
      <alignment horizontal="left" indent="1"/>
    </xf>
    <xf numFmtId="164" fontId="5" fillId="4" borderId="47" xfId="3" applyNumberFormat="1" applyFont="1" applyFill="1" applyBorder="1" applyAlignment="1">
      <alignment horizontal="right"/>
    </xf>
    <xf numFmtId="164" fontId="5" fillId="4" borderId="53" xfId="3" applyNumberFormat="1" applyFont="1" applyFill="1" applyBorder="1" applyAlignment="1">
      <alignment horizontal="right"/>
    </xf>
    <xf numFmtId="164" fontId="6" fillId="4" borderId="39" xfId="3" applyNumberFormat="1" applyFont="1" applyFill="1" applyBorder="1" applyAlignment="1">
      <alignment horizontal="right"/>
    </xf>
    <xf numFmtId="0" fontId="5" fillId="0" borderId="38" xfId="0" applyFont="1" applyBorder="1" applyAlignment="1">
      <alignment horizontal="left" wrapText="1" indent="1"/>
    </xf>
    <xf numFmtId="164" fontId="5" fillId="0" borderId="33" xfId="3" applyNumberFormat="1" applyFont="1" applyBorder="1" applyAlignment="1" applyProtection="1">
      <alignment horizontal="right"/>
      <protection locked="0"/>
    </xf>
    <xf numFmtId="164" fontId="5" fillId="0" borderId="50" xfId="3" applyNumberFormat="1" applyFont="1" applyBorder="1" applyAlignment="1" applyProtection="1">
      <alignment horizontal="right"/>
      <protection locked="0"/>
    </xf>
    <xf numFmtId="164" fontId="5" fillId="4" borderId="33" xfId="3" applyNumberFormat="1" applyFont="1" applyFill="1" applyBorder="1" applyAlignment="1">
      <alignment horizontal="right"/>
    </xf>
    <xf numFmtId="164" fontId="5" fillId="4" borderId="50" xfId="3" applyNumberFormat="1" applyFont="1" applyFill="1" applyBorder="1" applyAlignment="1">
      <alignment horizontal="right"/>
    </xf>
    <xf numFmtId="164" fontId="2" fillId="4" borderId="61" xfId="3" applyNumberFormat="1" applyFont="1" applyFill="1" applyBorder="1" applyAlignment="1">
      <alignment horizontal="right"/>
    </xf>
    <xf numFmtId="164" fontId="2" fillId="4" borderId="62" xfId="3" applyNumberFormat="1" applyFont="1" applyFill="1" applyBorder="1" applyAlignment="1">
      <alignment horizontal="right"/>
    </xf>
    <xf numFmtId="164" fontId="2" fillId="4" borderId="63" xfId="3" applyNumberFormat="1" applyFont="1" applyFill="1" applyBorder="1" applyAlignment="1">
      <alignment horizontal="right"/>
    </xf>
    <xf numFmtId="0" fontId="2" fillId="2" borderId="6" xfId="3" applyFont="1" applyFill="1" applyBorder="1"/>
    <xf numFmtId="164" fontId="2" fillId="2" borderId="6" xfId="3" applyNumberFormat="1" applyFont="1" applyFill="1" applyBorder="1"/>
    <xf numFmtId="164" fontId="2" fillId="4" borderId="43" xfId="3" applyNumberFormat="1" applyFont="1" applyFill="1" applyBorder="1" applyAlignment="1">
      <alignment horizontal="right"/>
    </xf>
    <xf numFmtId="164" fontId="2" fillId="4" borderId="44" xfId="3" applyNumberFormat="1" applyFont="1" applyFill="1" applyBorder="1" applyAlignment="1">
      <alignment horizontal="right"/>
    </xf>
    <xf numFmtId="164" fontId="2" fillId="4" borderId="45" xfId="3" applyNumberFormat="1" applyFont="1" applyFill="1" applyBorder="1" applyAlignment="1">
      <alignment horizontal="right"/>
    </xf>
    <xf numFmtId="0" fontId="5" fillId="0" borderId="46" xfId="3" applyFont="1" applyBorder="1"/>
    <xf numFmtId="164" fontId="5" fillId="0" borderId="6" xfId="3" applyNumberFormat="1" applyFont="1" applyBorder="1"/>
    <xf numFmtId="164" fontId="5" fillId="0" borderId="64" xfId="3" applyNumberFormat="1" applyFont="1" applyBorder="1"/>
    <xf numFmtId="164" fontId="5" fillId="9" borderId="53" xfId="3" applyNumberFormat="1" applyFont="1" applyFill="1" applyBorder="1" applyAlignment="1">
      <alignment horizontal="right"/>
    </xf>
    <xf numFmtId="164" fontId="5" fillId="9" borderId="50" xfId="3" applyNumberFormat="1" applyFont="1" applyFill="1" applyBorder="1" applyAlignment="1">
      <alignment horizontal="right"/>
    </xf>
    <xf numFmtId="164" fontId="5" fillId="9" borderId="59" xfId="3" applyNumberFormat="1" applyFont="1" applyFill="1" applyBorder="1" applyAlignment="1">
      <alignment horizontal="right"/>
    </xf>
    <xf numFmtId="0" fontId="5" fillId="0" borderId="58" xfId="3" applyFont="1" applyBorder="1" applyAlignment="1">
      <alignment horizontal="left" indent="1"/>
    </xf>
    <xf numFmtId="0" fontId="2" fillId="0" borderId="65" xfId="3" applyFont="1" applyBorder="1" applyAlignment="1">
      <alignment horizontal="left" indent="1"/>
    </xf>
    <xf numFmtId="164" fontId="5" fillId="0" borderId="65" xfId="3" applyNumberFormat="1" applyFont="1" applyBorder="1" applyAlignment="1">
      <alignment horizontal="right"/>
    </xf>
    <xf numFmtId="164" fontId="5" fillId="10" borderId="66" xfId="3" applyNumberFormat="1" applyFont="1" applyFill="1" applyBorder="1" applyAlignment="1">
      <alignment horizontal="right"/>
    </xf>
    <xf numFmtId="0" fontId="5" fillId="0" borderId="58" xfId="2" applyFont="1" applyBorder="1" applyAlignment="1">
      <alignment horizontal="left" indent="1"/>
    </xf>
    <xf numFmtId="164" fontId="5" fillId="0" borderId="65" xfId="3" applyNumberFormat="1" applyFont="1" applyBorder="1" applyAlignment="1" applyProtection="1">
      <alignment horizontal="right" vertical="center"/>
      <protection locked="0"/>
    </xf>
    <xf numFmtId="164" fontId="5" fillId="9" borderId="67" xfId="3" applyNumberFormat="1" applyFont="1" applyFill="1" applyBorder="1" applyAlignment="1">
      <alignment horizontal="right" vertical="center"/>
    </xf>
    <xf numFmtId="164" fontId="5" fillId="4" borderId="66" xfId="3" applyNumberFormat="1" applyFont="1" applyFill="1" applyBorder="1" applyAlignment="1">
      <alignment horizontal="right"/>
    </xf>
    <xf numFmtId="0" fontId="2" fillId="0" borderId="43" xfId="3" applyFont="1" applyBorder="1" applyAlignment="1">
      <alignment horizontal="left"/>
    </xf>
    <xf numFmtId="0" fontId="5" fillId="0" borderId="51" xfId="3" applyFont="1" applyBorder="1" applyAlignment="1">
      <alignment horizontal="left" wrapText="1" indent="1"/>
    </xf>
    <xf numFmtId="164" fontId="5" fillId="0" borderId="51" xfId="3" applyNumberFormat="1" applyFont="1" applyBorder="1" applyAlignment="1" applyProtection="1">
      <alignment horizontal="right" vertical="center"/>
      <protection locked="0"/>
    </xf>
    <xf numFmtId="164" fontId="5" fillId="9" borderId="59" xfId="3" applyNumberFormat="1" applyFont="1" applyFill="1" applyBorder="1" applyAlignment="1">
      <alignment horizontal="right" vertical="center"/>
    </xf>
    <xf numFmtId="164" fontId="5" fillId="4" borderId="52" xfId="3" applyNumberFormat="1" applyFont="1" applyFill="1" applyBorder="1" applyAlignment="1">
      <alignment horizontal="right"/>
    </xf>
    <xf numFmtId="0" fontId="5" fillId="4" borderId="68" xfId="2" applyFont="1" applyFill="1" applyBorder="1" applyAlignment="1">
      <alignment horizontal="left" indent="1"/>
    </xf>
    <xf numFmtId="0" fontId="2" fillId="4" borderId="69" xfId="3" applyFont="1" applyFill="1" applyBorder="1"/>
    <xf numFmtId="164" fontId="2" fillId="4" borderId="69" xfId="3" applyNumberFormat="1" applyFont="1" applyFill="1" applyBorder="1" applyAlignment="1">
      <alignment horizontal="right"/>
    </xf>
    <xf numFmtId="164" fontId="2" fillId="4" borderId="70" xfId="3" applyNumberFormat="1" applyFont="1" applyFill="1" applyBorder="1" applyAlignment="1">
      <alignment horizontal="right"/>
    </xf>
    <xf numFmtId="0" fontId="5" fillId="2" borderId="0" xfId="2" applyFont="1" applyFill="1"/>
    <xf numFmtId="0" fontId="2" fillId="2" borderId="0" xfId="2" applyFont="1" applyFill="1"/>
    <xf numFmtId="0" fontId="14" fillId="0" borderId="1" xfId="4" applyFont="1" applyFill="1" applyBorder="1" applyAlignment="1">
      <alignment vertical="center"/>
    </xf>
    <xf numFmtId="0" fontId="14" fillId="0" borderId="1" xfId="4" applyFont="1" applyFill="1" applyBorder="1" applyAlignment="1">
      <alignment horizontal="center" vertical="center" wrapText="1"/>
    </xf>
    <xf numFmtId="0" fontId="2" fillId="11" borderId="17" xfId="2" applyFont="1" applyFill="1" applyBorder="1"/>
    <xf numFmtId="0" fontId="2" fillId="11" borderId="18" xfId="2" applyFont="1" applyFill="1" applyBorder="1"/>
    <xf numFmtId="0" fontId="5" fillId="0" borderId="22" xfId="2" applyFont="1" applyBorder="1" applyProtection="1">
      <protection locked="0"/>
    </xf>
    <xf numFmtId="0" fontId="4" fillId="0" borderId="10" xfId="0" applyFont="1" applyBorder="1" applyAlignment="1">
      <alignment horizontal="left" indent="1"/>
    </xf>
    <xf numFmtId="0" fontId="4" fillId="0" borderId="1" xfId="0" applyFont="1" applyBorder="1" applyAlignment="1">
      <alignment horizontal="left" indent="1"/>
    </xf>
    <xf numFmtId="0" fontId="5" fillId="2" borderId="1" xfId="0" applyFont="1" applyFill="1" applyBorder="1" applyAlignment="1">
      <alignment horizontal="left" indent="2"/>
    </xf>
    <xf numFmtId="0" fontId="3" fillId="2" borderId="14" xfId="0" applyFont="1" applyFill="1" applyBorder="1"/>
    <xf numFmtId="0" fontId="3" fillId="3" borderId="6" xfId="0" applyFont="1" applyFill="1" applyBorder="1" applyAlignment="1">
      <alignment horizontal="center"/>
    </xf>
    <xf numFmtId="0" fontId="4" fillId="2" borderId="10" xfId="0" applyFont="1" applyFill="1" applyBorder="1" applyAlignment="1">
      <alignment horizontal="left" indent="1"/>
    </xf>
    <xf numFmtId="0" fontId="4" fillId="2" borderId="1" xfId="0" applyFont="1" applyFill="1" applyBorder="1" applyAlignment="1">
      <alignment horizontal="left" indent="1"/>
    </xf>
    <xf numFmtId="0" fontId="3" fillId="4" borderId="7" xfId="0" applyFont="1" applyFill="1" applyBorder="1"/>
    <xf numFmtId="0" fontId="3" fillId="0" borderId="0" xfId="0" applyFont="1" applyAlignment="1">
      <alignment horizontal="center" vertical="center"/>
    </xf>
    <xf numFmtId="0" fontId="3" fillId="0" borderId="0" xfId="0" applyFont="1" applyAlignment="1">
      <alignment horizontal="left" vertical="center" indent="3"/>
    </xf>
    <xf numFmtId="0" fontId="4" fillId="0" borderId="0" xfId="0" applyFont="1" applyBorder="1" applyAlignment="1">
      <alignment vertical="center" wrapText="1"/>
    </xf>
    <xf numFmtId="0" fontId="0" fillId="0" borderId="0" xfId="0" applyBorder="1"/>
    <xf numFmtId="0" fontId="5" fillId="0" borderId="38" xfId="0" applyFont="1" applyBorder="1" applyAlignment="1">
      <alignment horizontal="left" indent="1"/>
    </xf>
    <xf numFmtId="0" fontId="13" fillId="0" borderId="6" xfId="0" applyFont="1" applyBorder="1"/>
    <xf numFmtId="0" fontId="2" fillId="4" borderId="51" xfId="0" applyFont="1" applyFill="1" applyBorder="1"/>
    <xf numFmtId="0" fontId="5" fillId="0" borderId="47" xfId="0" applyFont="1" applyBorder="1" applyAlignment="1">
      <alignment horizontal="left" wrapText="1"/>
    </xf>
    <xf numFmtId="0" fontId="5" fillId="0" borderId="38" xfId="0" applyFont="1" applyBorder="1" applyAlignment="1">
      <alignment horizontal="left"/>
    </xf>
    <xf numFmtId="0" fontId="2" fillId="0" borderId="55" xfId="0" applyFont="1" applyBorder="1" applyAlignment="1">
      <alignment horizontal="left"/>
    </xf>
    <xf numFmtId="0" fontId="2" fillId="4" borderId="51" xfId="0" applyFont="1" applyFill="1" applyBorder="1" applyAlignment="1">
      <alignment horizontal="left"/>
    </xf>
    <xf numFmtId="0" fontId="5" fillId="0" borderId="47" xfId="0" applyFont="1" applyBorder="1" applyAlignment="1">
      <alignment horizontal="left" indent="1"/>
    </xf>
    <xf numFmtId="0" fontId="5" fillId="0" borderId="33" xfId="0" applyFont="1" applyBorder="1" applyAlignment="1">
      <alignment horizontal="left" wrapText="1" indent="1"/>
    </xf>
    <xf numFmtId="0" fontId="5" fillId="0" borderId="47" xfId="0" applyFont="1" applyBorder="1" applyAlignment="1">
      <alignment horizontal="left" wrapText="1" indent="1"/>
    </xf>
    <xf numFmtId="0" fontId="2" fillId="0" borderId="33" xfId="0" applyFont="1" applyBorder="1" applyAlignment="1">
      <alignment horizontal="left"/>
    </xf>
    <xf numFmtId="0" fontId="2" fillId="4" borderId="61" xfId="0" applyFont="1" applyFill="1" applyBorder="1" applyAlignment="1">
      <alignment horizontal="left"/>
    </xf>
    <xf numFmtId="0" fontId="2" fillId="4" borderId="43" xfId="0" applyFont="1" applyFill="1" applyBorder="1" applyAlignment="1">
      <alignment horizontal="left"/>
    </xf>
    <xf numFmtId="0" fontId="2" fillId="0" borderId="43" xfId="0" applyFont="1" applyBorder="1" applyAlignment="1">
      <alignment horizontal="center" vertical="center" wrapText="1"/>
    </xf>
    <xf numFmtId="0" fontId="5" fillId="0" borderId="43" xfId="0" applyFont="1" applyBorder="1" applyAlignment="1">
      <alignment horizontal="left" wrapText="1" inden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4" fillId="0" borderId="60" xfId="0" applyFont="1" applyBorder="1" applyAlignment="1">
      <alignment horizontal="center" vertical="center" wrapText="1"/>
    </xf>
    <xf numFmtId="0" fontId="5" fillId="7" borderId="28" xfId="1" applyFont="1" applyFill="1" applyBorder="1" applyAlignment="1" applyProtection="1">
      <alignment horizontal="left" indent="1"/>
    </xf>
    <xf numFmtId="0" fontId="5" fillId="7" borderId="32" xfId="1" applyFont="1" applyFill="1" applyBorder="1" applyAlignment="1" applyProtection="1">
      <alignment horizontal="left" indent="1"/>
    </xf>
    <xf numFmtId="0" fontId="2" fillId="8" borderId="30" xfId="1" applyFont="1" applyFill="1" applyBorder="1" applyAlignment="1" applyProtection="1">
      <alignment horizontal="left"/>
    </xf>
    <xf numFmtId="0" fontId="2" fillId="8" borderId="36" xfId="1" applyFont="1" applyFill="1" applyBorder="1" applyAlignment="1" applyProtection="1">
      <alignment horizontal="left"/>
    </xf>
    <xf numFmtId="0" fontId="2" fillId="8" borderId="31" xfId="1" applyFont="1" applyFill="1" applyBorder="1" applyAlignment="1" applyProtection="1">
      <alignment horizontal="left"/>
    </xf>
    <xf numFmtId="0" fontId="4" fillId="2" borderId="1" xfId="1" applyFont="1" applyFill="1" applyBorder="1" applyAlignment="1">
      <alignment horizontal="left" wrapText="1" indent="1"/>
    </xf>
    <xf numFmtId="0" fontId="2" fillId="0" borderId="0" xfId="1" applyFont="1" applyAlignment="1" applyProtection="1">
      <alignment horizontal="left" indent="2"/>
    </xf>
    <xf numFmtId="0" fontId="5" fillId="0" borderId="0" xfId="1" quotePrefix="1" applyFont="1" applyAlignment="1" applyProtection="1">
      <alignment horizontal="right" wrapText="1"/>
    </xf>
    <xf numFmtId="0" fontId="5" fillId="0" borderId="0" xfId="1" quotePrefix="1" applyFont="1" applyAlignment="1" applyProtection="1">
      <alignment horizontal="center"/>
    </xf>
    <xf numFmtId="0" fontId="5" fillId="7" borderId="29" xfId="1" applyFont="1" applyFill="1" applyBorder="1" applyAlignment="1" applyProtection="1">
      <alignment horizontal="center" vertical="center"/>
    </xf>
    <xf numFmtId="0" fontId="5" fillId="7" borderId="30" xfId="1" applyFont="1" applyFill="1" applyBorder="1" applyAlignment="1" applyProtection="1">
      <alignment horizontal="center"/>
    </xf>
    <xf numFmtId="0" fontId="5" fillId="7" borderId="31" xfId="1" applyFont="1" applyFill="1" applyBorder="1" applyAlignment="1" applyProtection="1">
      <alignment horizontal="center"/>
    </xf>
    <xf numFmtId="0" fontId="5" fillId="7" borderId="33" xfId="1" applyFont="1" applyFill="1" applyBorder="1" applyAlignment="1" applyProtection="1">
      <alignment horizontal="center" vertical="center"/>
    </xf>
    <xf numFmtId="0" fontId="5" fillId="7" borderId="33" xfId="1" applyFont="1" applyFill="1" applyBorder="1" applyAlignment="1" applyProtection="1">
      <alignment horizontal="center"/>
    </xf>
    <xf numFmtId="0" fontId="5" fillId="7" borderId="34" xfId="1" applyFont="1" applyFill="1" applyBorder="1" applyAlignment="1" applyProtection="1">
      <alignment horizontal="center"/>
    </xf>
    <xf numFmtId="0" fontId="6" fillId="0" borderId="38" xfId="3" applyFont="1" applyBorder="1" applyAlignment="1">
      <alignment horizontal="left" wrapText="1" indent="2"/>
    </xf>
  </cellXfs>
  <cellStyles count="5">
    <cellStyle name="Normal" xfId="0" builtinId="0"/>
    <cellStyle name="Normal 2" xfId="1"/>
    <cellStyle name="Normal 2 2" xfId="2"/>
    <cellStyle name="Normal 3" xfId="3"/>
    <cellStyle name="Normal_new financial statement" xfId="4"/>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to/Documents/&#4305;&#4304;&#4316;&#4312;&#4321;%20&#4321;&#4304;&#4305;&#4323;&#4311;&#4308;&#4305;&#4312;/&#4305;&#4304;&#4316;&#4313;&#4312;&#4321;&#4311;&#4309;&#4312;&#4321;%20&#4306;&#4304;&#4307;&#4304;&#4321;&#4304;&#4306;&#4310;&#4304;&#4309;&#4316;&#4312;/LE.FR.V1.0120227q042022%20&#4305;&#4304;&#4316;&#4312;%20&#4308;&#4320;&#4317;&#4309;&#4316;&#4323;&#4314;&#4312;&#4321;%20&#4320;&#4308;&#4318;&#4317;&#4320;&#4322;&#43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view="pageBreakPreview" topLeftCell="A7" zoomScaleNormal="100" zoomScaleSheetLayoutView="100" workbookViewId="0">
      <selection activeCell="B18" sqref="B18"/>
    </sheetView>
  </sheetViews>
  <sheetFormatPr defaultRowHeight="15" x14ac:dyDescent="0.25"/>
  <cols>
    <col min="1" max="1" width="6.28515625" bestFit="1" customWidth="1"/>
    <col min="2" max="2" width="42.5703125" customWidth="1"/>
    <col min="3" max="3" width="26.140625" bestFit="1" customWidth="1"/>
  </cols>
  <sheetData>
    <row r="1" spans="1:3" x14ac:dyDescent="0.25">
      <c r="A1" s="1"/>
      <c r="B1" s="2" t="s">
        <v>13</v>
      </c>
      <c r="C1" s="3"/>
    </row>
    <row r="2" spans="1:3" x14ac:dyDescent="0.25">
      <c r="A2" s="4" t="s">
        <v>0</v>
      </c>
      <c r="B2" s="5"/>
      <c r="C2" s="6"/>
    </row>
    <row r="3" spans="1:3" x14ac:dyDescent="0.25">
      <c r="A3" s="7">
        <v>1</v>
      </c>
      <c r="B3" s="8" t="s">
        <v>14</v>
      </c>
      <c r="C3" s="9" t="s">
        <v>15</v>
      </c>
    </row>
    <row r="4" spans="1:3" x14ac:dyDescent="0.25">
      <c r="A4" s="7">
        <v>2</v>
      </c>
      <c r="B4" s="8" t="s">
        <v>16</v>
      </c>
      <c r="C4" s="10">
        <v>44187</v>
      </c>
    </row>
    <row r="5" spans="1:3" x14ac:dyDescent="0.25">
      <c r="A5" s="7">
        <v>3</v>
      </c>
      <c r="B5" s="11" t="s">
        <v>17</v>
      </c>
      <c r="C5" s="9">
        <v>404881794</v>
      </c>
    </row>
    <row r="6" spans="1:3" x14ac:dyDescent="0.25">
      <c r="A6" s="7">
        <v>4</v>
      </c>
      <c r="B6" s="8" t="s">
        <v>92</v>
      </c>
      <c r="C6" s="12" t="s">
        <v>147</v>
      </c>
    </row>
    <row r="7" spans="1:3" x14ac:dyDescent="0.25">
      <c r="A7" s="7">
        <v>5</v>
      </c>
      <c r="B7" s="8" t="s">
        <v>93</v>
      </c>
      <c r="C7" s="13" t="s">
        <v>18</v>
      </c>
    </row>
    <row r="8" spans="1:3" x14ac:dyDescent="0.25">
      <c r="A8" s="7">
        <v>6</v>
      </c>
      <c r="B8" s="8" t="s">
        <v>24</v>
      </c>
      <c r="C8" s="13" t="s">
        <v>19</v>
      </c>
    </row>
    <row r="9" spans="1:3" x14ac:dyDescent="0.25">
      <c r="A9" s="7">
        <v>7</v>
      </c>
      <c r="B9" s="8" t="s">
        <v>138</v>
      </c>
      <c r="C9" s="13" t="s">
        <v>18</v>
      </c>
    </row>
    <row r="10" spans="1:3" x14ac:dyDescent="0.25">
      <c r="A10" s="7">
        <v>8</v>
      </c>
      <c r="B10" s="8" t="s">
        <v>97</v>
      </c>
      <c r="C10" s="13" t="s">
        <v>30</v>
      </c>
    </row>
    <row r="11" spans="1:3" x14ac:dyDescent="0.25">
      <c r="A11" s="7">
        <v>9</v>
      </c>
      <c r="B11" s="8" t="s">
        <v>23</v>
      </c>
      <c r="C11" s="13" t="s">
        <v>1</v>
      </c>
    </row>
    <row r="12" spans="1:3" x14ac:dyDescent="0.25">
      <c r="A12" s="7">
        <v>10</v>
      </c>
      <c r="B12" s="8" t="s">
        <v>2</v>
      </c>
      <c r="C12" s="13" t="s">
        <v>3</v>
      </c>
    </row>
    <row r="13" spans="1:3" x14ac:dyDescent="0.25">
      <c r="A13" s="7">
        <v>11</v>
      </c>
      <c r="B13" s="11" t="s">
        <v>139</v>
      </c>
      <c r="C13" s="13" t="s">
        <v>4</v>
      </c>
    </row>
    <row r="14" spans="1:3" x14ac:dyDescent="0.25">
      <c r="A14" s="7">
        <v>12</v>
      </c>
      <c r="B14" s="8" t="s">
        <v>20</v>
      </c>
      <c r="C14" s="13">
        <v>1</v>
      </c>
    </row>
    <row r="15" spans="1:3" x14ac:dyDescent="0.25">
      <c r="A15" s="7">
        <v>13</v>
      </c>
      <c r="B15" s="8" t="s">
        <v>21</v>
      </c>
      <c r="C15" s="13">
        <v>5</v>
      </c>
    </row>
    <row r="16" spans="1:3" x14ac:dyDescent="0.25">
      <c r="A16" s="7">
        <v>14</v>
      </c>
      <c r="B16" s="8" t="s">
        <v>22</v>
      </c>
      <c r="C16" s="13">
        <v>40</v>
      </c>
    </row>
    <row r="17" spans="1:3" x14ac:dyDescent="0.25">
      <c r="A17" s="14">
        <v>14.1</v>
      </c>
      <c r="B17" s="15" t="s">
        <v>136</v>
      </c>
      <c r="C17" s="13">
        <v>10</v>
      </c>
    </row>
    <row r="18" spans="1:3" x14ac:dyDescent="0.25">
      <c r="A18" s="14">
        <v>14.2</v>
      </c>
      <c r="B18" s="15" t="s">
        <v>137</v>
      </c>
      <c r="C18" s="13">
        <v>30</v>
      </c>
    </row>
    <row r="19" spans="1:3" ht="22.5" x14ac:dyDescent="0.25">
      <c r="A19" s="14">
        <v>15</v>
      </c>
      <c r="B19" s="16" t="s">
        <v>26</v>
      </c>
      <c r="C19" s="13">
        <v>42</v>
      </c>
    </row>
    <row r="20" spans="1:3" x14ac:dyDescent="0.25">
      <c r="A20" s="7">
        <v>16</v>
      </c>
      <c r="B20" s="8" t="s">
        <v>27</v>
      </c>
      <c r="C20" s="13" t="s">
        <v>18</v>
      </c>
    </row>
    <row r="21" spans="1:3" ht="22.5" x14ac:dyDescent="0.25">
      <c r="A21" s="7">
        <v>17</v>
      </c>
      <c r="B21" s="8" t="s">
        <v>28</v>
      </c>
      <c r="C21" s="13">
        <v>595368483</v>
      </c>
    </row>
    <row r="22" spans="1:3" x14ac:dyDescent="0.25">
      <c r="A22" s="7">
        <v>18</v>
      </c>
      <c r="B22" s="8" t="s">
        <v>29</v>
      </c>
      <c r="C22" s="13" t="s">
        <v>5</v>
      </c>
    </row>
    <row r="23" spans="1:3" ht="76.5" customHeight="1" x14ac:dyDescent="0.25">
      <c r="A23" s="188" t="s">
        <v>25</v>
      </c>
      <c r="B23" s="189"/>
      <c r="C23" s="190"/>
    </row>
  </sheetData>
  <mergeCells count="1">
    <mergeCell ref="A23:C23"/>
  </mergeCells>
  <conditionalFormatting sqref="C6">
    <cfRule type="containsBlanks" dxfId="7" priority="5">
      <formula>LEN(TRIM(C6))=0</formula>
    </cfRule>
  </conditionalFormatting>
  <conditionalFormatting sqref="C7:C22">
    <cfRule type="containsBlanks" dxfId="6" priority="4">
      <formula>LEN(TRIM(C7))=0</formula>
    </cfRule>
  </conditionalFormatting>
  <conditionalFormatting sqref="C3">
    <cfRule type="containsBlanks" dxfId="5" priority="3">
      <formula>LEN(TRIM(C3))=0</formula>
    </cfRule>
  </conditionalFormatting>
  <conditionalFormatting sqref="C4">
    <cfRule type="containsBlanks" dxfId="4" priority="2">
      <formula>LEN(TRIM(C4))=0</formula>
    </cfRule>
  </conditionalFormatting>
  <conditionalFormatting sqref="C5">
    <cfRule type="containsBlanks" dxfId="3" priority="1">
      <formula>LEN(TRIM(C5))=0</formula>
    </cfRule>
  </conditionalFormatting>
  <dataValidations count="2">
    <dataValidation type="whole" operator="greaterThan" allowBlank="1" showInputMessage="1" showErrorMessage="1" sqref="C14:C19">
      <formula1>-1</formula1>
    </dataValidation>
    <dataValidation type="date" operator="greaterThan" allowBlank="1" showInputMessage="1" showErrorMessage="1" errorTitle="არასწორი ფორმატი" error="შეიყვანეთ თარიღი  შემდეგი ფორმატით:_x000a__x000a_03/18/2018" sqref="C4">
      <formula1>18264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view="pageBreakPreview" topLeftCell="A7" zoomScaleNormal="100" zoomScaleSheetLayoutView="100" workbookViewId="0">
      <selection activeCell="B24" sqref="B24"/>
    </sheetView>
  </sheetViews>
  <sheetFormatPr defaultRowHeight="15" x14ac:dyDescent="0.25"/>
  <cols>
    <col min="1" max="1" width="4.85546875" bestFit="1" customWidth="1"/>
    <col min="2" max="2" width="50.42578125" bestFit="1" customWidth="1"/>
    <col min="3" max="3" width="16" bestFit="1" customWidth="1"/>
    <col min="4" max="4" width="8.28515625" bestFit="1" customWidth="1"/>
    <col min="5" max="5" width="11.28515625" customWidth="1"/>
  </cols>
  <sheetData>
    <row r="1" spans="1:6" ht="15.75" customHeight="1" thickBot="1" x14ac:dyDescent="0.3">
      <c r="A1" s="2" t="s">
        <v>6</v>
      </c>
      <c r="B1" s="169" t="s">
        <v>6</v>
      </c>
      <c r="C1" s="170" t="s">
        <v>56</v>
      </c>
      <c r="D1" s="191" t="s">
        <v>57</v>
      </c>
      <c r="E1" s="191"/>
      <c r="F1" s="171"/>
    </row>
    <row r="2" spans="1:6" ht="15.75" thickBot="1" x14ac:dyDescent="0.3">
      <c r="A2" s="17" t="s">
        <v>7</v>
      </c>
      <c r="B2" s="165" t="s">
        <v>44</v>
      </c>
      <c r="C2" s="18" t="s">
        <v>31</v>
      </c>
      <c r="D2" s="18" t="s">
        <v>32</v>
      </c>
      <c r="E2" s="19" t="s">
        <v>33</v>
      </c>
      <c r="F2" s="172"/>
    </row>
    <row r="3" spans="1:6" x14ac:dyDescent="0.25">
      <c r="A3" s="20">
        <v>1</v>
      </c>
      <c r="B3" s="161" t="s">
        <v>34</v>
      </c>
      <c r="C3" s="21"/>
      <c r="D3" s="21"/>
      <c r="E3" s="22">
        <f t="shared" ref="E3:E8" si="0">C3+D3</f>
        <v>0</v>
      </c>
      <c r="F3" s="172"/>
    </row>
    <row r="4" spans="1:6" x14ac:dyDescent="0.25">
      <c r="A4" s="23">
        <v>2</v>
      </c>
      <c r="B4" s="162" t="s">
        <v>35</v>
      </c>
      <c r="C4" s="24">
        <v>153609.49</v>
      </c>
      <c r="D4" s="24">
        <v>314493.94</v>
      </c>
      <c r="E4" s="25">
        <f t="shared" si="0"/>
        <v>468103.43</v>
      </c>
    </row>
    <row r="5" spans="1:6" x14ac:dyDescent="0.25">
      <c r="A5" s="23">
        <v>3</v>
      </c>
      <c r="B5" s="163" t="s">
        <v>36</v>
      </c>
      <c r="C5" s="26">
        <f>122589.07+2056651.97+250205.31+243409.58+41575.67+1622.36</f>
        <v>2716053.96</v>
      </c>
      <c r="D5" s="26">
        <f>141904.58+24459.18+1970649.77+67550+337750+40885.42+26896.25</f>
        <v>2610095.1999999997</v>
      </c>
      <c r="E5" s="27">
        <f t="shared" si="0"/>
        <v>5326149.16</v>
      </c>
    </row>
    <row r="6" spans="1:6" x14ac:dyDescent="0.25">
      <c r="A6" s="23">
        <v>3.1</v>
      </c>
      <c r="B6" s="163" t="s">
        <v>37</v>
      </c>
      <c r="C6" s="26">
        <v>0</v>
      </c>
      <c r="D6" s="26">
        <v>0</v>
      </c>
      <c r="E6" s="27">
        <f t="shared" si="0"/>
        <v>0</v>
      </c>
    </row>
    <row r="7" spans="1:6" x14ac:dyDescent="0.25">
      <c r="A7" s="23">
        <v>3.2</v>
      </c>
      <c r="B7" s="162" t="s">
        <v>38</v>
      </c>
      <c r="C7" s="24">
        <f>C5-C6</f>
        <v>2716053.96</v>
      </c>
      <c r="D7" s="24">
        <f>D5-D6</f>
        <v>2610095.1999999997</v>
      </c>
      <c r="E7" s="25">
        <f t="shared" si="0"/>
        <v>5326149.16</v>
      </c>
    </row>
    <row r="8" spans="1:6" x14ac:dyDescent="0.25">
      <c r="A8" s="23">
        <v>4</v>
      </c>
      <c r="B8" s="162" t="s">
        <v>39</v>
      </c>
      <c r="C8" s="24">
        <f>69096.04</f>
        <v>69096.039999999994</v>
      </c>
      <c r="D8" s="24">
        <f>35160.05</f>
        <v>35160.050000000003</v>
      </c>
      <c r="E8" s="25">
        <f t="shared" si="0"/>
        <v>104256.09</v>
      </c>
    </row>
    <row r="9" spans="1:6" x14ac:dyDescent="0.25">
      <c r="A9" s="23">
        <v>5</v>
      </c>
      <c r="B9" s="162" t="s">
        <v>40</v>
      </c>
      <c r="C9" s="24">
        <f>158481.87+116105.6</f>
        <v>274587.46999999997</v>
      </c>
      <c r="D9" s="28"/>
      <c r="E9" s="25">
        <f>C9</f>
        <v>274587.46999999997</v>
      </c>
    </row>
    <row r="10" spans="1:6" x14ac:dyDescent="0.25">
      <c r="A10" s="23">
        <v>6</v>
      </c>
      <c r="B10" s="162" t="s">
        <v>41</v>
      </c>
      <c r="C10" s="24">
        <f>26000+14484.57+20636.24+50632.1+40004.37-(10004.75+17315.44+46856.85+33175.73)</f>
        <v>44404.510000000009</v>
      </c>
      <c r="D10" s="28"/>
      <c r="E10" s="25">
        <f>C10</f>
        <v>44404.510000000009</v>
      </c>
    </row>
    <row r="11" spans="1:6" x14ac:dyDescent="0.25">
      <c r="A11" s="23">
        <v>7</v>
      </c>
      <c r="B11" s="162" t="s">
        <v>42</v>
      </c>
      <c r="C11" s="24">
        <f>18821.06+5245.8</f>
        <v>24066.86</v>
      </c>
      <c r="D11" s="24">
        <f>6178.58</f>
        <v>6178.58</v>
      </c>
      <c r="E11" s="25">
        <f>C11+D11</f>
        <v>30245.440000000002</v>
      </c>
    </row>
    <row r="12" spans="1:6" ht="15.75" thickBot="1" x14ac:dyDescent="0.3">
      <c r="A12" s="20">
        <v>8</v>
      </c>
      <c r="B12" s="164" t="s">
        <v>43</v>
      </c>
      <c r="C12" s="29">
        <f>SUM(C3:C4,C7:C11)</f>
        <v>3281818.3299999996</v>
      </c>
      <c r="D12" s="29">
        <f>SUM(D3:D4,D7:D11)</f>
        <v>2965927.7699999996</v>
      </c>
      <c r="E12" s="30">
        <f>SUM(E3:E4,E7:E11)</f>
        <v>6247746.0999999996</v>
      </c>
    </row>
    <row r="13" spans="1:6" ht="15.75" thickBot="1" x14ac:dyDescent="0.3">
      <c r="A13" s="17"/>
      <c r="B13" s="165" t="s">
        <v>45</v>
      </c>
      <c r="C13" s="31"/>
      <c r="D13" s="31"/>
      <c r="E13" s="32"/>
    </row>
    <row r="14" spans="1:6" x14ac:dyDescent="0.25">
      <c r="A14" s="20">
        <v>9</v>
      </c>
      <c r="B14" s="161" t="s">
        <v>46</v>
      </c>
      <c r="C14" s="21">
        <f>1350579.89</f>
        <v>1350579.89</v>
      </c>
      <c r="D14" s="21"/>
      <c r="E14" s="22">
        <f t="shared" ref="E14:E18" si="1">C14+D14</f>
        <v>1350579.89</v>
      </c>
    </row>
    <row r="15" spans="1:6" x14ac:dyDescent="0.25">
      <c r="A15" s="20">
        <v>10</v>
      </c>
      <c r="B15" s="162" t="s">
        <v>47</v>
      </c>
      <c r="C15" s="24">
        <f>298136.4</f>
        <v>298136.40000000002</v>
      </c>
      <c r="D15" s="24">
        <f>3990233.4</f>
        <v>3990233.4</v>
      </c>
      <c r="E15" s="27">
        <f t="shared" si="1"/>
        <v>4288369.8</v>
      </c>
    </row>
    <row r="16" spans="1:6" x14ac:dyDescent="0.25">
      <c r="A16" s="20">
        <v>11</v>
      </c>
      <c r="B16" s="162" t="s">
        <v>48</v>
      </c>
      <c r="C16" s="24">
        <f>7218.74</f>
        <v>7218.74</v>
      </c>
      <c r="D16" s="24">
        <f>5937.7</f>
        <v>5937.7</v>
      </c>
      <c r="E16" s="25">
        <f t="shared" si="1"/>
        <v>13156.439999999999</v>
      </c>
    </row>
    <row r="17" spans="1:5" x14ac:dyDescent="0.25">
      <c r="A17" s="23">
        <v>12</v>
      </c>
      <c r="B17" s="162" t="s">
        <v>49</v>
      </c>
      <c r="C17" s="24">
        <f>6998.18+2.67+37107.65+0.12+3193.14-11.94-3016.34</f>
        <v>44273.479999999996</v>
      </c>
      <c r="D17" s="24">
        <f>31459.03-442.53-5227.21-458.42-392.94</f>
        <v>24937.930000000004</v>
      </c>
      <c r="E17" s="25">
        <f t="shared" si="1"/>
        <v>69211.41</v>
      </c>
    </row>
    <row r="18" spans="1:5" ht="15.75" thickBot="1" x14ac:dyDescent="0.3">
      <c r="A18" s="20">
        <v>13</v>
      </c>
      <c r="B18" s="164" t="s">
        <v>50</v>
      </c>
      <c r="C18" s="29">
        <f>SUM(C14:C17)</f>
        <v>1700208.51</v>
      </c>
      <c r="D18" s="29">
        <f>SUM(D14:D17)</f>
        <v>4021109.0300000003</v>
      </c>
      <c r="E18" s="30">
        <f t="shared" si="1"/>
        <v>5721317.54</v>
      </c>
    </row>
    <row r="19" spans="1:5" ht="15.75" thickBot="1" x14ac:dyDescent="0.3">
      <c r="A19" s="17"/>
      <c r="B19" s="165" t="s">
        <v>51</v>
      </c>
      <c r="C19" s="31"/>
      <c r="D19" s="31"/>
      <c r="E19" s="32"/>
    </row>
    <row r="20" spans="1:5" x14ac:dyDescent="0.25">
      <c r="A20" s="20">
        <v>14</v>
      </c>
      <c r="B20" s="166" t="s">
        <v>52</v>
      </c>
      <c r="C20" s="21">
        <f>4209696.8-115.92</f>
        <v>4209580.88</v>
      </c>
      <c r="D20" s="33"/>
      <c r="E20" s="22">
        <f t="shared" ref="E20:E25" si="2">C20</f>
        <v>4209580.88</v>
      </c>
    </row>
    <row r="21" spans="1:5" x14ac:dyDescent="0.25">
      <c r="A21" s="23">
        <v>15</v>
      </c>
      <c r="B21" s="197" t="s">
        <v>95</v>
      </c>
      <c r="C21" s="24"/>
      <c r="D21" s="28"/>
      <c r="E21" s="25">
        <f t="shared" si="2"/>
        <v>0</v>
      </c>
    </row>
    <row r="22" spans="1:5" x14ac:dyDescent="0.25">
      <c r="A22" s="23">
        <v>16</v>
      </c>
      <c r="B22" s="7" t="s">
        <v>94</v>
      </c>
      <c r="C22" s="24"/>
      <c r="D22" s="28"/>
      <c r="E22" s="25">
        <f t="shared" si="2"/>
        <v>0</v>
      </c>
    </row>
    <row r="23" spans="1:5" x14ac:dyDescent="0.25">
      <c r="A23" s="23">
        <v>17</v>
      </c>
      <c r="B23" s="167" t="s">
        <v>53</v>
      </c>
      <c r="C23" s="24">
        <f>-3692363+3016.34+5227.21+458.42+392.94+115.92</f>
        <v>-3683152.1700000004</v>
      </c>
      <c r="D23" s="28"/>
      <c r="E23" s="25">
        <f t="shared" si="2"/>
        <v>-3683152.1700000004</v>
      </c>
    </row>
    <row r="24" spans="1:5" x14ac:dyDescent="0.25">
      <c r="A24" s="23">
        <v>18</v>
      </c>
      <c r="B24" s="7" t="s">
        <v>96</v>
      </c>
      <c r="C24" s="24"/>
      <c r="D24" s="28"/>
      <c r="E24" s="25">
        <f t="shared" si="2"/>
        <v>0</v>
      </c>
    </row>
    <row r="25" spans="1:5" ht="15.75" thickBot="1" x14ac:dyDescent="0.3">
      <c r="A25" s="34">
        <v>19</v>
      </c>
      <c r="B25" s="164" t="s">
        <v>54</v>
      </c>
      <c r="C25" s="29">
        <f>SUM(C20:C24)</f>
        <v>526428.7099999995</v>
      </c>
      <c r="D25" s="28"/>
      <c r="E25" s="30">
        <f t="shared" si="2"/>
        <v>526428.7099999995</v>
      </c>
    </row>
    <row r="26" spans="1:5" ht="15.75" thickBot="1" x14ac:dyDescent="0.3">
      <c r="A26" s="35">
        <v>20</v>
      </c>
      <c r="B26" s="168" t="s">
        <v>55</v>
      </c>
      <c r="C26" s="36">
        <f>C18+C25</f>
        <v>2226637.2199999997</v>
      </c>
      <c r="D26" s="36">
        <f>D18</f>
        <v>4021109.0300000003</v>
      </c>
      <c r="E26" s="37">
        <f>C26+D26</f>
        <v>6247746.25</v>
      </c>
    </row>
    <row r="27" spans="1:5" x14ac:dyDescent="0.25">
      <c r="A27" s="6"/>
      <c r="B27" s="6"/>
      <c r="C27" s="38"/>
      <c r="D27" s="38"/>
      <c r="E27" s="38" t="str">
        <f>IF(OR(E12-E18-E25&gt;1,E12-E18-E25&lt;-1),"არ არის ბალანსი","")</f>
        <v/>
      </c>
    </row>
  </sheetData>
  <mergeCells count="1">
    <mergeCell ref="D1:E1"/>
  </mergeCells>
  <dataValidations count="1">
    <dataValidation type="decimal" allowBlank="1" showInputMessage="1" showErrorMessage="1" errorTitle="რიცხვითი მნიშვნელობა" error="შეიყვანეთ რიცხვითი მნიშვნელობა" sqref="C3:D8 C9:C11 D11 C14:D17 C20:C24">
      <formula1>-100000000000</formula1>
      <formula2>100000000000</formula2>
    </dataValidation>
  </dataValidations>
  <pageMargins left="0.7" right="0.7" top="0.75" bottom="0.75" header="0.3" footer="0.3"/>
  <pageSetup scale="9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B0DADA3B-4C3E-4290-A392-5EF4A11CAF0B}">
            <xm:f>OR($E$17-'\Users\dato\Documents\ბანის საბუთები\ბანკისთვის გადასაგზავნი\[LE.FR.V1.0120227q042022 ბანი ეროვნულის რეპორტი.xlsm]Funds'!#REF!&gt;1,$E$17-'\Users\dato\Documents\ბანის საბუთები\ბანკისთვის გადასაგზავნი\[LE.FR.V1.0120227q042022 ბანი ეროვნულის რეპორტი.xlsm]Funds'!#REF!&lt;-1)</xm:f>
            <x14:dxf>
              <fill>
                <patternFill>
                  <bgColor rgb="FFFF0000"/>
                </patternFill>
              </fill>
            </x14:dxf>
          </x14:cfRule>
          <xm:sqref>E14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Normal="100" zoomScaleSheetLayoutView="100" workbookViewId="0">
      <selection activeCell="B8" sqref="B8"/>
    </sheetView>
  </sheetViews>
  <sheetFormatPr defaultRowHeight="15" x14ac:dyDescent="0.25"/>
  <cols>
    <col min="1" max="1" width="3.5703125" bestFit="1" customWidth="1"/>
    <col min="2" max="2" width="53.42578125" bestFit="1" customWidth="1"/>
    <col min="3" max="3" width="12.42578125" bestFit="1" customWidth="1"/>
    <col min="4" max="4" width="13.42578125" bestFit="1" customWidth="1"/>
    <col min="5" max="5" width="12.42578125" bestFit="1" customWidth="1"/>
    <col min="6" max="6" width="19.85546875" bestFit="1" customWidth="1"/>
  </cols>
  <sheetData>
    <row r="1" spans="1:6" x14ac:dyDescent="0.25">
      <c r="A1" s="39"/>
      <c r="B1" s="39"/>
      <c r="C1" s="40" t="s">
        <v>98</v>
      </c>
      <c r="D1" s="40" t="s">
        <v>32</v>
      </c>
      <c r="E1" s="40" t="s">
        <v>99</v>
      </c>
      <c r="F1" s="40" t="s">
        <v>100</v>
      </c>
    </row>
    <row r="2" spans="1:6" x14ac:dyDescent="0.25">
      <c r="A2" s="41">
        <v>1</v>
      </c>
      <c r="B2" s="42" t="s">
        <v>104</v>
      </c>
      <c r="C2" s="43">
        <f>C3+C4+C5</f>
        <v>1350579.89</v>
      </c>
      <c r="D2" s="43">
        <f>D3+D4+D5</f>
        <v>0</v>
      </c>
      <c r="E2" s="44">
        <f>C2+D2</f>
        <v>1350579.89</v>
      </c>
      <c r="F2" s="45">
        <f>F3+F4+F5</f>
        <v>1</v>
      </c>
    </row>
    <row r="3" spans="1:6" x14ac:dyDescent="0.25">
      <c r="A3" s="46">
        <v>1.1000000000000001</v>
      </c>
      <c r="B3" s="47" t="s">
        <v>101</v>
      </c>
      <c r="C3" s="48">
        <v>1350579.89</v>
      </c>
      <c r="D3" s="48"/>
      <c r="E3" s="49">
        <f>C3+D3</f>
        <v>1350579.89</v>
      </c>
      <c r="F3" s="50">
        <v>1</v>
      </c>
    </row>
    <row r="4" spans="1:6" x14ac:dyDescent="0.25">
      <c r="A4" s="46">
        <v>1.2</v>
      </c>
      <c r="B4" s="47" t="s">
        <v>102</v>
      </c>
      <c r="C4" s="48"/>
      <c r="D4" s="48"/>
      <c r="E4" s="49">
        <f t="shared" ref="E4:E9" si="0">C4+D4</f>
        <v>0</v>
      </c>
      <c r="F4" s="50"/>
    </row>
    <row r="5" spans="1:6" x14ac:dyDescent="0.25">
      <c r="A5" s="46">
        <v>1.3</v>
      </c>
      <c r="B5" s="47" t="s">
        <v>103</v>
      </c>
      <c r="C5" s="48"/>
      <c r="D5" s="51"/>
      <c r="E5" s="49">
        <f t="shared" si="0"/>
        <v>0</v>
      </c>
      <c r="F5" s="50"/>
    </row>
    <row r="6" spans="1:6" x14ac:dyDescent="0.25">
      <c r="A6" s="52">
        <v>2</v>
      </c>
      <c r="B6" s="53" t="s">
        <v>105</v>
      </c>
      <c r="C6" s="54">
        <f>C7+C8</f>
        <v>0</v>
      </c>
      <c r="D6" s="54">
        <f>D7+D8</f>
        <v>0</v>
      </c>
      <c r="E6" s="55">
        <f t="shared" si="0"/>
        <v>0</v>
      </c>
      <c r="F6" s="56">
        <f>F7+F8</f>
        <v>0</v>
      </c>
    </row>
    <row r="7" spans="1:6" x14ac:dyDescent="0.25">
      <c r="A7" s="46">
        <v>2.1</v>
      </c>
      <c r="B7" s="47" t="s">
        <v>106</v>
      </c>
      <c r="C7" s="48"/>
      <c r="D7" s="51"/>
      <c r="E7" s="49">
        <f t="shared" si="0"/>
        <v>0</v>
      </c>
      <c r="F7" s="50"/>
    </row>
    <row r="8" spans="1:6" x14ac:dyDescent="0.25">
      <c r="A8" s="46">
        <v>2.2000000000000002</v>
      </c>
      <c r="B8" s="47" t="s">
        <v>107</v>
      </c>
      <c r="C8" s="48"/>
      <c r="D8" s="51"/>
      <c r="E8" s="49">
        <f t="shared" si="0"/>
        <v>0</v>
      </c>
      <c r="F8" s="50"/>
    </row>
    <row r="9" spans="1:6" x14ac:dyDescent="0.25">
      <c r="A9" s="57">
        <v>3</v>
      </c>
      <c r="B9" s="57" t="s">
        <v>108</v>
      </c>
      <c r="C9" s="58">
        <f>C2+C6</f>
        <v>1350579.89</v>
      </c>
      <c r="D9" s="58">
        <f>D2+D6</f>
        <v>0</v>
      </c>
      <c r="E9" s="59">
        <f t="shared" si="0"/>
        <v>1350579.89</v>
      </c>
      <c r="F9" s="58">
        <f>F2+F6</f>
        <v>1</v>
      </c>
    </row>
  </sheetData>
  <dataValidations count="1">
    <dataValidation type="decimal" allowBlank="1" showInputMessage="1" showErrorMessage="1" errorTitle="რიცხვითი მნიშვნელობა" error="შეიყვანეთ რიცხვითი მნიშვნელობა" sqref="C3:D5 F3:F5 F7:F8 C7:D8">
      <formula1>-10000000000</formula1>
      <formula2>10000000000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B16" sqref="B16"/>
    </sheetView>
  </sheetViews>
  <sheetFormatPr defaultRowHeight="15" x14ac:dyDescent="0.25"/>
  <cols>
    <col min="2" max="2" width="46.85546875" bestFit="1" customWidth="1"/>
    <col min="3" max="3" width="10.42578125" customWidth="1"/>
  </cols>
  <sheetData>
    <row r="1" spans="1:4" ht="23.25" x14ac:dyDescent="0.25">
      <c r="A1" s="60" t="s">
        <v>8</v>
      </c>
      <c r="B1" s="198" t="s">
        <v>109</v>
      </c>
      <c r="C1" s="199" t="s">
        <v>110</v>
      </c>
      <c r="D1" s="200"/>
    </row>
    <row r="2" spans="1:4" x14ac:dyDescent="0.25">
      <c r="A2" s="192" t="s">
        <v>7</v>
      </c>
      <c r="B2" s="201" t="s">
        <v>111</v>
      </c>
      <c r="C2" s="202"/>
      <c r="D2" s="203"/>
    </row>
    <row r="3" spans="1:4" x14ac:dyDescent="0.25">
      <c r="A3" s="193"/>
      <c r="B3" s="204"/>
      <c r="C3" s="205" t="s">
        <v>112</v>
      </c>
      <c r="D3" s="206" t="s">
        <v>113</v>
      </c>
    </row>
    <row r="4" spans="1:4" x14ac:dyDescent="0.25">
      <c r="A4" s="61" t="s">
        <v>9</v>
      </c>
      <c r="B4" s="194" t="s">
        <v>114</v>
      </c>
      <c r="C4" s="195"/>
      <c r="D4" s="196"/>
    </row>
    <row r="5" spans="1:4" x14ac:dyDescent="0.25">
      <c r="A5" s="62">
        <v>1</v>
      </c>
      <c r="B5" s="63" t="s">
        <v>115</v>
      </c>
      <c r="C5" s="64">
        <f>4030161*0.96</f>
        <v>3868954.56</v>
      </c>
      <c r="D5" s="65">
        <f t="shared" ref="D5:D13" si="0">IFERROR(C5/$C$23,0)</f>
        <v>0</v>
      </c>
    </row>
    <row r="6" spans="1:4" x14ac:dyDescent="0.25">
      <c r="A6" s="62">
        <v>2</v>
      </c>
      <c r="B6" s="63" t="s">
        <v>116</v>
      </c>
      <c r="C6" s="64">
        <v>1.96</v>
      </c>
      <c r="D6" s="65">
        <f t="shared" si="0"/>
        <v>0</v>
      </c>
    </row>
    <row r="7" spans="1:4" x14ac:dyDescent="0.25">
      <c r="A7" s="62">
        <v>3</v>
      </c>
      <c r="B7" s="63" t="s">
        <v>117</v>
      </c>
      <c r="C7" s="64">
        <v>1.96</v>
      </c>
      <c r="D7" s="65">
        <f t="shared" si="0"/>
        <v>0</v>
      </c>
    </row>
    <row r="8" spans="1:4" x14ac:dyDescent="0.25">
      <c r="A8" s="62">
        <v>4</v>
      </c>
      <c r="B8" s="63" t="s">
        <v>118</v>
      </c>
      <c r="C8" s="64">
        <v>0.96</v>
      </c>
      <c r="D8" s="65">
        <f t="shared" si="0"/>
        <v>0</v>
      </c>
    </row>
    <row r="9" spans="1:4" x14ac:dyDescent="0.25">
      <c r="A9" s="62">
        <v>5</v>
      </c>
      <c r="B9" s="63" t="s">
        <v>119</v>
      </c>
      <c r="C9" s="64">
        <f>131551*0.96</f>
        <v>126288.95999999999</v>
      </c>
      <c r="D9" s="65">
        <f t="shared" si="0"/>
        <v>0</v>
      </c>
    </row>
    <row r="10" spans="1:4" x14ac:dyDescent="0.25">
      <c r="A10" s="62">
        <v>6</v>
      </c>
      <c r="B10" s="63"/>
      <c r="C10" s="64"/>
      <c r="D10" s="65">
        <f t="shared" si="0"/>
        <v>0</v>
      </c>
    </row>
    <row r="11" spans="1:4" x14ac:dyDescent="0.25">
      <c r="A11" s="62">
        <v>7</v>
      </c>
      <c r="B11" s="63"/>
      <c r="C11" s="64"/>
      <c r="D11" s="65">
        <f t="shared" si="0"/>
        <v>0</v>
      </c>
    </row>
    <row r="12" spans="1:4" x14ac:dyDescent="0.25">
      <c r="A12" s="62">
        <v>8</v>
      </c>
      <c r="B12" s="63"/>
      <c r="C12" s="64"/>
      <c r="D12" s="65">
        <f t="shared" si="0"/>
        <v>0</v>
      </c>
    </row>
    <row r="13" spans="1:4" x14ac:dyDescent="0.25">
      <c r="A13" s="66"/>
      <c r="B13" s="67" t="s">
        <v>120</v>
      </c>
      <c r="C13" s="68">
        <f>SUM(C5:C12)</f>
        <v>3995248.4</v>
      </c>
      <c r="D13" s="69">
        <f t="shared" si="0"/>
        <v>0</v>
      </c>
    </row>
    <row r="14" spans="1:4" x14ac:dyDescent="0.25">
      <c r="A14" s="70"/>
      <c r="B14" s="71"/>
      <c r="C14" s="71"/>
      <c r="D14" s="71"/>
    </row>
    <row r="15" spans="1:4" x14ac:dyDescent="0.25">
      <c r="A15" s="72" t="s">
        <v>10</v>
      </c>
      <c r="B15" s="194" t="s">
        <v>121</v>
      </c>
      <c r="C15" s="195"/>
      <c r="D15" s="196"/>
    </row>
    <row r="16" spans="1:4" x14ac:dyDescent="0.25">
      <c r="A16" s="62">
        <v>1</v>
      </c>
      <c r="B16" s="63" t="s">
        <v>148</v>
      </c>
      <c r="C16" s="64">
        <f>223263*0.96</f>
        <v>214332.47999999998</v>
      </c>
      <c r="D16" s="65">
        <f>IFERROR(C16/$C$23,0)</f>
        <v>0</v>
      </c>
    </row>
    <row r="17" spans="1:4" x14ac:dyDescent="0.25">
      <c r="A17" s="62">
        <v>2</v>
      </c>
      <c r="B17" s="63"/>
      <c r="C17" s="64"/>
      <c r="D17" s="65">
        <f>IFERROR(C17/$C$23,0)</f>
        <v>0</v>
      </c>
    </row>
    <row r="18" spans="1:4" x14ac:dyDescent="0.25">
      <c r="A18" s="62">
        <v>3</v>
      </c>
      <c r="B18" s="63"/>
      <c r="C18" s="64"/>
      <c r="D18" s="65">
        <f>IFERROR(C18/$C$23,0)</f>
        <v>0</v>
      </c>
    </row>
    <row r="19" spans="1:4" x14ac:dyDescent="0.25">
      <c r="A19" s="73"/>
      <c r="B19" s="74" t="s">
        <v>122</v>
      </c>
      <c r="C19" s="75">
        <f>SUM(C16:C18)</f>
        <v>214332.47999999998</v>
      </c>
      <c r="D19" s="65">
        <f>IFERROR(C19/$C$23,0)</f>
        <v>0</v>
      </c>
    </row>
    <row r="20" spans="1:4" x14ac:dyDescent="0.25">
      <c r="A20" s="76"/>
      <c r="B20" s="77" t="s">
        <v>123</v>
      </c>
      <c r="C20" s="68">
        <f>C19+C13</f>
        <v>4209580.88</v>
      </c>
      <c r="D20" s="69">
        <f>IFERROR(C20/$C$23,0)</f>
        <v>0</v>
      </c>
    </row>
    <row r="21" spans="1:4" x14ac:dyDescent="0.25">
      <c r="A21" s="78"/>
      <c r="B21" s="78"/>
      <c r="C21" s="79"/>
      <c r="D21" s="78"/>
    </row>
    <row r="22" spans="1:4" x14ac:dyDescent="0.25">
      <c r="A22" s="78"/>
      <c r="B22" s="78"/>
      <c r="C22" s="79"/>
      <c r="D22" s="78"/>
    </row>
    <row r="23" spans="1:4" x14ac:dyDescent="0.25">
      <c r="A23" s="72" t="s">
        <v>11</v>
      </c>
      <c r="B23" s="194" t="s">
        <v>124</v>
      </c>
      <c r="C23" s="195"/>
      <c r="D23" s="196"/>
    </row>
    <row r="24" spans="1:4" x14ac:dyDescent="0.25">
      <c r="A24" s="62">
        <v>1</v>
      </c>
      <c r="B24" s="63" t="s">
        <v>115</v>
      </c>
      <c r="C24" s="64">
        <v>4030161.8</v>
      </c>
      <c r="D24" s="65">
        <f>IFERROR(C24/$C$23,0)</f>
        <v>0</v>
      </c>
    </row>
    <row r="25" spans="1:4" x14ac:dyDescent="0.25">
      <c r="A25" s="62">
        <v>2</v>
      </c>
      <c r="B25" s="63"/>
      <c r="C25" s="64"/>
      <c r="D25" s="65">
        <f>IFERROR(C25/$C$23,0)</f>
        <v>0</v>
      </c>
    </row>
  </sheetData>
  <mergeCells count="6">
    <mergeCell ref="B23:D23"/>
    <mergeCell ref="A2:A3"/>
    <mergeCell ref="B2:B3"/>
    <mergeCell ref="C2:D2"/>
    <mergeCell ref="B4:D4"/>
    <mergeCell ref="B15:D15"/>
  </mergeCells>
  <dataValidations count="1">
    <dataValidation type="decimal" allowBlank="1" showInputMessage="1" showErrorMessage="1" errorTitle="რიცხვითი მნიშვნელობა" error="შეიყვანეთ რიცხვითი მნიშვნელობა" sqref="C24:C25 C5:C12 C16:C18">
      <formula1>-100000000000</formula1>
      <formula2>10000000000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topLeftCell="A4" zoomScale="106" zoomScaleNormal="100" zoomScaleSheetLayoutView="106" workbookViewId="0">
      <selection activeCell="B9" sqref="B9"/>
    </sheetView>
  </sheetViews>
  <sheetFormatPr defaultRowHeight="15" x14ac:dyDescent="0.25"/>
  <cols>
    <col min="1" max="1" width="5.7109375" bestFit="1" customWidth="1"/>
    <col min="2" max="2" width="60.140625" bestFit="1" customWidth="1"/>
    <col min="3" max="4" width="7.5703125" bestFit="1" customWidth="1"/>
  </cols>
  <sheetData>
    <row r="1" spans="1:5" ht="15.75" thickBot="1" x14ac:dyDescent="0.3">
      <c r="A1" t="s">
        <v>12</v>
      </c>
      <c r="B1" s="170" t="s">
        <v>58</v>
      </c>
      <c r="C1" s="191" t="s">
        <v>57</v>
      </c>
      <c r="D1" s="191"/>
      <c r="E1" s="191"/>
    </row>
    <row r="2" spans="1:5" ht="15.75" thickBot="1" x14ac:dyDescent="0.3">
      <c r="A2" s="80" t="s">
        <v>7</v>
      </c>
      <c r="B2" s="81"/>
      <c r="C2" s="82" t="s">
        <v>31</v>
      </c>
      <c r="D2" s="83" t="s">
        <v>32</v>
      </c>
      <c r="E2" s="84" t="s">
        <v>140</v>
      </c>
    </row>
    <row r="3" spans="1:5" ht="15.75" thickBot="1" x14ac:dyDescent="0.3">
      <c r="A3" s="85"/>
      <c r="B3" s="174" t="s">
        <v>61</v>
      </c>
      <c r="C3" s="86"/>
      <c r="D3" s="86"/>
      <c r="E3" s="86"/>
    </row>
    <row r="4" spans="1:5" x14ac:dyDescent="0.25">
      <c r="A4" s="87">
        <v>1</v>
      </c>
      <c r="B4" s="88" t="s">
        <v>90</v>
      </c>
      <c r="C4" s="89"/>
      <c r="D4" s="90"/>
      <c r="E4" s="91">
        <f t="shared" ref="E4:E9" si="0">C4+D4</f>
        <v>0</v>
      </c>
    </row>
    <row r="5" spans="1:5" x14ac:dyDescent="0.25">
      <c r="A5" s="87">
        <v>2</v>
      </c>
      <c r="B5" s="173" t="s">
        <v>59</v>
      </c>
      <c r="C5" s="89">
        <f>-6860.69+20223.02</f>
        <v>13362.330000000002</v>
      </c>
      <c r="D5" s="90">
        <f>5517.02-45938.33</f>
        <v>-40421.31</v>
      </c>
      <c r="E5" s="92">
        <f t="shared" si="0"/>
        <v>-27058.979999999996</v>
      </c>
    </row>
    <row r="6" spans="1:5" x14ac:dyDescent="0.25">
      <c r="A6" s="87">
        <v>3</v>
      </c>
      <c r="B6" s="173" t="s">
        <v>149</v>
      </c>
      <c r="C6" s="89">
        <f>50940.63+303762.82</f>
        <v>354703.45</v>
      </c>
      <c r="D6" s="90">
        <f>55321.64+466040.16</f>
        <v>521361.8</v>
      </c>
      <c r="E6" s="92">
        <f t="shared" si="0"/>
        <v>876065.25</v>
      </c>
    </row>
    <row r="7" spans="1:5" x14ac:dyDescent="0.25">
      <c r="A7" s="87">
        <v>4</v>
      </c>
      <c r="B7" s="118" t="s">
        <v>60</v>
      </c>
      <c r="C7" s="89">
        <f>49887.59</f>
        <v>49887.59</v>
      </c>
      <c r="D7" s="90">
        <f>82677.98</f>
        <v>82677.98</v>
      </c>
      <c r="E7" s="92">
        <f t="shared" si="0"/>
        <v>132565.57</v>
      </c>
    </row>
    <row r="8" spans="1:5" x14ac:dyDescent="0.25">
      <c r="A8" s="87">
        <v>5</v>
      </c>
      <c r="B8" s="118" t="s">
        <v>141</v>
      </c>
      <c r="C8" s="94"/>
      <c r="D8" s="95"/>
      <c r="E8" s="96">
        <f t="shared" si="0"/>
        <v>0</v>
      </c>
    </row>
    <row r="9" spans="1:5" ht="15.75" thickBot="1" x14ac:dyDescent="0.3">
      <c r="A9" s="97">
        <v>6</v>
      </c>
      <c r="B9" s="175" t="s">
        <v>62</v>
      </c>
      <c r="C9" s="98">
        <f>SUM(C4:C5,C7:C8,C6)</f>
        <v>417953.37</v>
      </c>
      <c r="D9" s="98">
        <f>SUM(D4:D5,D7:D8,D6)</f>
        <v>563618.47</v>
      </c>
      <c r="E9" s="99">
        <f t="shared" si="0"/>
        <v>981571.84</v>
      </c>
    </row>
    <row r="10" spans="1:5" ht="15.75" thickBot="1" x14ac:dyDescent="0.3">
      <c r="A10" s="100"/>
      <c r="B10" s="174" t="s">
        <v>63</v>
      </c>
      <c r="C10" s="101"/>
      <c r="D10" s="101"/>
      <c r="E10" s="101"/>
    </row>
    <row r="11" spans="1:5" x14ac:dyDescent="0.25">
      <c r="A11" s="87">
        <v>7</v>
      </c>
      <c r="B11" s="176" t="s">
        <v>64</v>
      </c>
      <c r="C11" s="102">
        <f>56476.38</f>
        <v>56476.38</v>
      </c>
      <c r="D11" s="103">
        <f>20902.47</f>
        <v>20902.47</v>
      </c>
      <c r="E11" s="91">
        <f t="shared" ref="E11:E15" si="1">C11+D11</f>
        <v>77378.850000000006</v>
      </c>
    </row>
    <row r="12" spans="1:5" x14ac:dyDescent="0.25">
      <c r="A12" s="87">
        <v>8</v>
      </c>
      <c r="B12" s="177" t="s">
        <v>65</v>
      </c>
      <c r="C12" s="105">
        <f>40847.92</f>
        <v>40847.919999999998</v>
      </c>
      <c r="D12" s="106">
        <f>254143.9</f>
        <v>254143.9</v>
      </c>
      <c r="E12" s="92">
        <f t="shared" si="1"/>
        <v>294991.82</v>
      </c>
    </row>
    <row r="13" spans="1:5" x14ac:dyDescent="0.25">
      <c r="A13" s="87">
        <v>9</v>
      </c>
      <c r="B13" s="104" t="s">
        <v>91</v>
      </c>
      <c r="C13" s="105"/>
      <c r="D13" s="106"/>
      <c r="E13" s="92">
        <f t="shared" si="1"/>
        <v>0</v>
      </c>
    </row>
    <row r="14" spans="1:5" ht="15.75" thickBot="1" x14ac:dyDescent="0.3">
      <c r="A14" s="107">
        <v>10</v>
      </c>
      <c r="B14" s="178" t="s">
        <v>66</v>
      </c>
      <c r="C14" s="108">
        <f>SUM(C11:C13)</f>
        <v>97324.299999999988</v>
      </c>
      <c r="D14" s="109">
        <f>SUM(D11:D13)</f>
        <v>275046.37</v>
      </c>
      <c r="E14" s="110">
        <f t="shared" si="1"/>
        <v>372370.67</v>
      </c>
    </row>
    <row r="15" spans="1:5" ht="15.75" thickBot="1" x14ac:dyDescent="0.3">
      <c r="A15" s="111">
        <v>11</v>
      </c>
      <c r="B15" s="179" t="s">
        <v>67</v>
      </c>
      <c r="C15" s="98">
        <f>C9-C14</f>
        <v>320629.07</v>
      </c>
      <c r="D15" s="112">
        <f>D9-D14</f>
        <v>288572.09999999998</v>
      </c>
      <c r="E15" s="99">
        <f t="shared" si="1"/>
        <v>609201.16999999993</v>
      </c>
    </row>
    <row r="16" spans="1:5" ht="15.75" thickBot="1" x14ac:dyDescent="0.3">
      <c r="A16" s="113"/>
      <c r="B16" s="174" t="s">
        <v>68</v>
      </c>
      <c r="C16" s="101"/>
      <c r="D16" s="101"/>
      <c r="E16" s="101"/>
    </row>
    <row r="17" spans="1:5" x14ac:dyDescent="0.25">
      <c r="A17" s="114">
        <v>12</v>
      </c>
      <c r="B17" s="180" t="s">
        <v>69</v>
      </c>
      <c r="C17" s="115">
        <f>C18-C19</f>
        <v>32641.02</v>
      </c>
      <c r="D17" s="116">
        <f>D18-D19</f>
        <v>50136.14</v>
      </c>
      <c r="E17" s="91">
        <f t="shared" ref="E17:E24" si="2">C17+D17</f>
        <v>82777.16</v>
      </c>
    </row>
    <row r="18" spans="1:5" x14ac:dyDescent="0.25">
      <c r="A18" s="87">
        <v>12.1</v>
      </c>
      <c r="B18" s="207" t="s">
        <v>142</v>
      </c>
      <c r="C18" s="89">
        <f>32760</f>
        <v>32760</v>
      </c>
      <c r="D18" s="90">
        <f>58380.83</f>
        <v>58380.83</v>
      </c>
      <c r="E18" s="117">
        <f t="shared" si="2"/>
        <v>91140.83</v>
      </c>
    </row>
    <row r="19" spans="1:5" x14ac:dyDescent="0.25">
      <c r="A19" s="87">
        <v>12.2</v>
      </c>
      <c r="B19" s="207" t="s">
        <v>143</v>
      </c>
      <c r="C19" s="89">
        <f>118.98</f>
        <v>118.98</v>
      </c>
      <c r="D19" s="90">
        <f>8244.69</f>
        <v>8244.69</v>
      </c>
      <c r="E19" s="117">
        <f t="shared" si="2"/>
        <v>8363.67</v>
      </c>
    </row>
    <row r="20" spans="1:5" x14ac:dyDescent="0.25">
      <c r="A20" s="87">
        <v>13</v>
      </c>
      <c r="B20" s="118" t="s">
        <v>144</v>
      </c>
      <c r="C20" s="89">
        <f>7361.45-30875.98</f>
        <v>-23514.53</v>
      </c>
      <c r="D20" s="90"/>
      <c r="E20" s="117">
        <f t="shared" si="2"/>
        <v>-23514.53</v>
      </c>
    </row>
    <row r="21" spans="1:5" x14ac:dyDescent="0.25">
      <c r="A21" s="87">
        <v>14</v>
      </c>
      <c r="B21" s="118" t="s">
        <v>70</v>
      </c>
      <c r="C21" s="105">
        <f>440947.53-355170.55</f>
        <v>85776.98000000004</v>
      </c>
      <c r="D21" s="106"/>
      <c r="E21" s="92">
        <f t="shared" si="2"/>
        <v>85776.98000000004</v>
      </c>
    </row>
    <row r="22" spans="1:5" x14ac:dyDescent="0.25">
      <c r="A22" s="87">
        <v>15</v>
      </c>
      <c r="B22" s="118" t="s">
        <v>71</v>
      </c>
      <c r="C22" s="105">
        <f>21808.17-5904.1</f>
        <v>15904.069999999998</v>
      </c>
      <c r="D22" s="106"/>
      <c r="E22" s="92">
        <f t="shared" si="2"/>
        <v>15904.069999999998</v>
      </c>
    </row>
    <row r="23" spans="1:5" x14ac:dyDescent="0.25">
      <c r="A23" s="93">
        <v>16</v>
      </c>
      <c r="B23" s="181" t="s">
        <v>72</v>
      </c>
      <c r="C23" s="119">
        <f>1380.34+3016.34</f>
        <v>4396.68</v>
      </c>
      <c r="D23" s="120">
        <f>5227.21+458.42+392.94</f>
        <v>6078.57</v>
      </c>
      <c r="E23" s="96">
        <f t="shared" si="2"/>
        <v>10475.25</v>
      </c>
    </row>
    <row r="24" spans="1:5" ht="15.75" thickBot="1" x14ac:dyDescent="0.3">
      <c r="A24" s="97">
        <v>17</v>
      </c>
      <c r="B24" s="179" t="s">
        <v>73</v>
      </c>
      <c r="C24" s="98">
        <f>SUM(C17,C20:C23)</f>
        <v>115204.22000000003</v>
      </c>
      <c r="D24" s="112">
        <f>SUM(D17,D20:D23)</f>
        <v>56214.71</v>
      </c>
      <c r="E24" s="99">
        <f t="shared" si="2"/>
        <v>171418.93000000002</v>
      </c>
    </row>
    <row r="25" spans="1:5" ht="15.75" thickBot="1" x14ac:dyDescent="0.3">
      <c r="A25" s="100"/>
      <c r="B25" s="174" t="s">
        <v>74</v>
      </c>
      <c r="C25" s="101"/>
      <c r="D25" s="101"/>
      <c r="E25" s="101"/>
    </row>
    <row r="26" spans="1:5" x14ac:dyDescent="0.25">
      <c r="A26" s="87">
        <v>18</v>
      </c>
      <c r="B26" s="182" t="s">
        <v>75</v>
      </c>
      <c r="C26" s="105">
        <f>18600</f>
        <v>18600</v>
      </c>
      <c r="D26" s="106"/>
      <c r="E26" s="91">
        <f t="shared" ref="E26:E33" si="3">C26+D26</f>
        <v>18600</v>
      </c>
    </row>
    <row r="27" spans="1:5" x14ac:dyDescent="0.25">
      <c r="A27" s="87">
        <v>19</v>
      </c>
      <c r="B27" s="118" t="s">
        <v>76</v>
      </c>
      <c r="C27" s="105">
        <f>109836.16</f>
        <v>109836.16</v>
      </c>
      <c r="D27" s="106"/>
      <c r="E27" s="92">
        <f t="shared" si="3"/>
        <v>109836.16</v>
      </c>
    </row>
    <row r="28" spans="1:5" x14ac:dyDescent="0.25">
      <c r="A28" s="87">
        <v>20</v>
      </c>
      <c r="B28" s="118" t="s">
        <v>77</v>
      </c>
      <c r="C28" s="105">
        <f>7423.3</f>
        <v>7423.3</v>
      </c>
      <c r="D28" s="106"/>
      <c r="E28" s="92">
        <f t="shared" si="3"/>
        <v>7423.3</v>
      </c>
    </row>
    <row r="29" spans="1:5" x14ac:dyDescent="0.25">
      <c r="A29" s="87">
        <v>21</v>
      </c>
      <c r="B29" s="118" t="s">
        <v>78</v>
      </c>
      <c r="C29" s="105">
        <v>45834.47</v>
      </c>
      <c r="D29" s="106"/>
      <c r="E29" s="92">
        <f t="shared" si="3"/>
        <v>45834.47</v>
      </c>
    </row>
    <row r="30" spans="1:5" x14ac:dyDescent="0.25">
      <c r="A30" s="87">
        <v>22</v>
      </c>
      <c r="B30" s="118" t="s">
        <v>79</v>
      </c>
      <c r="C30" s="105">
        <f>1549.05+1783.68+2288.16+3106.8</f>
        <v>8727.6899999999987</v>
      </c>
      <c r="D30" s="106"/>
      <c r="E30" s="92">
        <f t="shared" si="3"/>
        <v>8727.6899999999987</v>
      </c>
    </row>
    <row r="31" spans="1:5" x14ac:dyDescent="0.25">
      <c r="A31" s="87">
        <v>23</v>
      </c>
      <c r="B31" s="118" t="s">
        <v>72</v>
      </c>
      <c r="C31" s="105">
        <f>4944.14+18268.74+2668.4+285+2439.87+220+1625+2061.7+1000+9358.12+29775.28+27687.84+641.81+2412.23+4800+3024+45.12+322.72+111991.22</f>
        <v>223571.19</v>
      </c>
      <c r="D31" s="106"/>
      <c r="E31" s="92">
        <f t="shared" si="3"/>
        <v>223571.19</v>
      </c>
    </row>
    <row r="32" spans="1:5" x14ac:dyDescent="0.25">
      <c r="A32" s="93">
        <v>24</v>
      </c>
      <c r="B32" s="183" t="s">
        <v>80</v>
      </c>
      <c r="C32" s="121">
        <f>SUM(C26:C31)</f>
        <v>413992.81</v>
      </c>
      <c r="D32" s="122">
        <f>SUM(D26:D31)</f>
        <v>0</v>
      </c>
      <c r="E32" s="96">
        <f t="shared" si="3"/>
        <v>413992.81</v>
      </c>
    </row>
    <row r="33" spans="1:5" ht="15.75" thickBot="1" x14ac:dyDescent="0.3">
      <c r="A33" s="97">
        <v>25</v>
      </c>
      <c r="B33" s="184" t="s">
        <v>81</v>
      </c>
      <c r="C33" s="123">
        <f>C24-C32</f>
        <v>-298788.58999999997</v>
      </c>
      <c r="D33" s="124">
        <f>D24-D32</f>
        <v>56214.71</v>
      </c>
      <c r="E33" s="125">
        <f t="shared" si="3"/>
        <v>-242573.87999999998</v>
      </c>
    </row>
    <row r="34" spans="1:5" ht="15.75" thickBot="1" x14ac:dyDescent="0.3">
      <c r="A34" s="126"/>
      <c r="B34" s="126"/>
      <c r="C34" s="127"/>
      <c r="D34" s="127"/>
      <c r="E34" s="127"/>
    </row>
    <row r="35" spans="1:5" ht="15.75" thickBot="1" x14ac:dyDescent="0.3">
      <c r="A35" s="87">
        <v>26</v>
      </c>
      <c r="B35" s="185" t="s">
        <v>82</v>
      </c>
      <c r="C35" s="128">
        <f>C15+C33</f>
        <v>21840.48000000004</v>
      </c>
      <c r="D35" s="129">
        <f>D15+D33</f>
        <v>344786.81</v>
      </c>
      <c r="E35" s="130">
        <f>C35+D35</f>
        <v>366627.29000000004</v>
      </c>
    </row>
    <row r="36" spans="1:5" ht="15.75" thickBot="1" x14ac:dyDescent="0.3">
      <c r="A36" s="131"/>
      <c r="B36" s="100"/>
      <c r="C36" s="132"/>
      <c r="D36" s="133"/>
      <c r="E36" s="132"/>
    </row>
    <row r="37" spans="1:5" x14ac:dyDescent="0.25">
      <c r="A37" s="87">
        <v>27</v>
      </c>
      <c r="B37" s="182" t="s">
        <v>83</v>
      </c>
      <c r="C37" s="102">
        <v>-53827.22</v>
      </c>
      <c r="D37" s="134"/>
      <c r="E37" s="91">
        <f>C37</f>
        <v>-53827.22</v>
      </c>
    </row>
    <row r="38" spans="1:5" x14ac:dyDescent="0.25">
      <c r="A38" s="93">
        <v>28</v>
      </c>
      <c r="B38" s="181" t="s">
        <v>84</v>
      </c>
      <c r="C38" s="119"/>
      <c r="D38" s="135"/>
      <c r="E38" s="96">
        <f>C38</f>
        <v>0</v>
      </c>
    </row>
    <row r="39" spans="1:5" ht="15.75" thickBot="1" x14ac:dyDescent="0.3">
      <c r="A39" s="97">
        <v>29</v>
      </c>
      <c r="B39" s="179" t="s">
        <v>85</v>
      </c>
      <c r="C39" s="98">
        <f>SUM(C37:C38)</f>
        <v>-53827.22</v>
      </c>
      <c r="D39" s="136"/>
      <c r="E39" s="99">
        <f>C39</f>
        <v>-53827.22</v>
      </c>
    </row>
    <row r="40" spans="1:5" ht="15.75" thickBot="1" x14ac:dyDescent="0.3">
      <c r="A40" s="137"/>
      <c r="B40" s="138"/>
      <c r="C40" s="139"/>
      <c r="D40" s="139"/>
      <c r="E40" s="140"/>
    </row>
    <row r="41" spans="1:5" ht="15.75" thickBot="1" x14ac:dyDescent="0.3">
      <c r="A41" s="141">
        <v>30</v>
      </c>
      <c r="B41" s="186" t="s">
        <v>86</v>
      </c>
      <c r="C41" s="128">
        <f>C35-C39</f>
        <v>75667.700000000041</v>
      </c>
      <c r="D41" s="129">
        <f>D35</f>
        <v>344786.81</v>
      </c>
      <c r="E41" s="130">
        <f>C41+D41</f>
        <v>420454.51</v>
      </c>
    </row>
    <row r="42" spans="1:5" ht="15.75" thickBot="1" x14ac:dyDescent="0.3">
      <c r="A42" s="141">
        <v>31</v>
      </c>
      <c r="B42" s="187" t="s">
        <v>87</v>
      </c>
      <c r="C42" s="142"/>
      <c r="D42" s="143"/>
      <c r="E42" s="144">
        <f>C42</f>
        <v>0</v>
      </c>
    </row>
    <row r="43" spans="1:5" ht="15.75" thickBot="1" x14ac:dyDescent="0.3">
      <c r="A43" s="141">
        <v>32</v>
      </c>
      <c r="B43" s="145" t="s">
        <v>88</v>
      </c>
      <c r="C43" s="128">
        <f>C41-C42</f>
        <v>75667.700000000041</v>
      </c>
      <c r="D43" s="129">
        <f>D41</f>
        <v>344786.81</v>
      </c>
      <c r="E43" s="130">
        <f>C43+D43</f>
        <v>420454.51</v>
      </c>
    </row>
    <row r="44" spans="1:5" ht="15.75" thickBot="1" x14ac:dyDescent="0.3">
      <c r="A44" s="141">
        <v>33</v>
      </c>
      <c r="B44" s="146" t="s">
        <v>145</v>
      </c>
      <c r="C44" s="147"/>
      <c r="D44" s="148"/>
      <c r="E44" s="149">
        <f>C44</f>
        <v>0</v>
      </c>
    </row>
    <row r="45" spans="1:5" ht="15.75" thickBot="1" x14ac:dyDescent="0.3">
      <c r="A45" s="150">
        <v>34</v>
      </c>
      <c r="B45" s="151" t="s">
        <v>89</v>
      </c>
      <c r="C45" s="152">
        <f>C43+C44</f>
        <v>75667.700000000041</v>
      </c>
      <c r="D45" s="152">
        <f>D43</f>
        <v>344786.81</v>
      </c>
      <c r="E45" s="153">
        <f>C45+D45</f>
        <v>420454.51</v>
      </c>
    </row>
    <row r="46" spans="1:5" ht="15.75" thickTop="1" x14ac:dyDescent="0.25"/>
  </sheetData>
  <mergeCells count="1">
    <mergeCell ref="C1:E1"/>
  </mergeCells>
  <dataValidations count="1">
    <dataValidation type="decimal" allowBlank="1" showInputMessage="1" showErrorMessage="1" errorTitle="რიცხვითი მნიშვნელობა" error="შეიყვანეთ რიცხვითი მნიშვნელობა" sqref="C4:D8 C11:D13 C18:D23 C26:D31 C37:C38 C42 C44">
      <formula1>-10000000000</formula1>
      <formula2>10000000000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106" zoomScaleNormal="100" zoomScaleSheetLayoutView="106" workbookViewId="0">
      <selection activeCell="B8" sqref="B8"/>
    </sheetView>
  </sheetViews>
  <sheetFormatPr defaultColWidth="9.140625" defaultRowHeight="11.25" x14ac:dyDescent="0.2"/>
  <cols>
    <col min="1" max="1" width="8.140625" style="154" bestFit="1" customWidth="1"/>
    <col min="2" max="4" width="18.85546875" style="154" customWidth="1"/>
    <col min="5" max="5" width="19.7109375" style="154" customWidth="1"/>
    <col min="6" max="6" width="16.28515625" style="154" customWidth="1"/>
    <col min="7" max="7" width="15.7109375" style="154" customWidth="1"/>
    <col min="8" max="16384" width="9.140625" style="154"/>
  </cols>
  <sheetData>
    <row r="1" spans="1:7" ht="12" customHeight="1" x14ac:dyDescent="0.2">
      <c r="A1" s="154" t="s">
        <v>132</v>
      </c>
      <c r="B1" s="154" t="s">
        <v>133</v>
      </c>
    </row>
    <row r="3" spans="1:7" x14ac:dyDescent="0.2">
      <c r="A3" s="155" t="s">
        <v>125</v>
      </c>
    </row>
    <row r="4" spans="1:7" x14ac:dyDescent="0.2">
      <c r="A4" s="156" t="s">
        <v>7</v>
      </c>
      <c r="B4" s="157" t="s">
        <v>126</v>
      </c>
      <c r="C4" s="157" t="s">
        <v>127</v>
      </c>
      <c r="D4" s="157" t="s">
        <v>146</v>
      </c>
      <c r="E4" s="157" t="s">
        <v>128</v>
      </c>
      <c r="F4" s="157" t="s">
        <v>135</v>
      </c>
      <c r="G4" s="157" t="s">
        <v>129</v>
      </c>
    </row>
    <row r="5" spans="1:7" ht="12" customHeight="1" x14ac:dyDescent="0.2">
      <c r="A5" s="158"/>
      <c r="B5" s="159"/>
      <c r="C5" s="159"/>
      <c r="D5" s="159"/>
      <c r="E5" s="159"/>
      <c r="F5" s="159"/>
      <c r="G5" s="159"/>
    </row>
    <row r="6" spans="1:7" ht="12" customHeight="1" x14ac:dyDescent="0.2">
      <c r="A6" s="87">
        <v>1</v>
      </c>
      <c r="B6" s="63" t="s">
        <v>130</v>
      </c>
      <c r="C6" s="63" t="str">
        <f>info!C10</f>
        <v>TBILISI,I.GAKHOKIDZE I TURN.N4</v>
      </c>
      <c r="D6" s="160" t="s">
        <v>134</v>
      </c>
      <c r="E6" s="63" t="s">
        <v>131</v>
      </c>
      <c r="F6" s="63" t="s">
        <v>3</v>
      </c>
      <c r="G6" s="63">
        <v>322990404</v>
      </c>
    </row>
    <row r="7" spans="1:7" ht="12" customHeight="1" x14ac:dyDescent="0.2">
      <c r="A7" s="87">
        <v>2</v>
      </c>
      <c r="B7" s="160"/>
      <c r="C7" s="160"/>
      <c r="D7" s="160"/>
      <c r="E7" s="160"/>
      <c r="F7" s="160"/>
      <c r="G7" s="160"/>
    </row>
    <row r="8" spans="1:7" ht="12" customHeight="1" x14ac:dyDescent="0.2">
      <c r="A8" s="87">
        <v>3</v>
      </c>
      <c r="B8" s="160"/>
      <c r="C8" s="160"/>
      <c r="D8" s="160"/>
      <c r="E8" s="160"/>
      <c r="F8" s="160"/>
      <c r="G8" s="160"/>
    </row>
    <row r="9" spans="1:7" ht="12" customHeight="1" x14ac:dyDescent="0.2">
      <c r="A9" s="87">
        <v>4</v>
      </c>
      <c r="B9" s="160"/>
      <c r="C9" s="160"/>
      <c r="D9" s="160"/>
      <c r="E9" s="160"/>
      <c r="F9" s="160"/>
      <c r="G9" s="160"/>
    </row>
    <row r="10" spans="1:7" ht="12" customHeight="1" x14ac:dyDescent="0.2">
      <c r="A10" s="87">
        <v>5</v>
      </c>
      <c r="B10" s="160"/>
      <c r="C10" s="160"/>
      <c r="D10" s="160"/>
      <c r="E10" s="160"/>
      <c r="F10" s="160"/>
      <c r="G10" s="160"/>
    </row>
  </sheetData>
  <conditionalFormatting sqref="B6:B9">
    <cfRule type="expression" dxfId="1" priority="1">
      <formula>AND($B6="",$B7&lt;&gt;"")</formula>
    </cfRule>
  </conditionalFormatting>
  <conditionalFormatting sqref="B10">
    <cfRule type="expression" dxfId="0" priority="7">
      <formula>AND($B10="",#REF!&lt;&gt;"")</formula>
    </cfRule>
  </conditionalFormatting>
  <dataValidations count="2">
    <dataValidation type="list" allowBlank="1" showInputMessage="1" showErrorMessage="1" sqref="D6">
      <formula1>"head office"</formula1>
    </dataValidation>
    <dataValidation type="list" allowBlank="1" showInputMessage="1" showErrorMessage="1" sqref="D7:D10">
      <formula1>" ,სათაო, ფილიალი, საწყობი"</formula1>
    </dataValidation>
  </dataValidation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RC</vt:lpstr>
      <vt:lpstr>funds</vt:lpstr>
      <vt:lpstr>A-RC</vt:lpstr>
      <vt:lpstr>RI</vt:lpstr>
      <vt:lpstr>branches</vt:lpstr>
      <vt:lpstr>branches!Print_Area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dc:creator>
  <cp:lastModifiedBy>dato</cp:lastModifiedBy>
  <dcterms:created xsi:type="dcterms:W3CDTF">2023-03-14T09:58:20Z</dcterms:created>
  <dcterms:modified xsi:type="dcterms:W3CDTF">2023-03-15T10:41:25Z</dcterms:modified>
</cp:coreProperties>
</file>